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Chapter 17 Solvent Extraction - Single Stage\"/>
    </mc:Choice>
  </mc:AlternateContent>
  <bookViews>
    <workbookView xWindow="0" yWindow="0" windowWidth="24000" windowHeight="9600" tabRatio="949"/>
  </bookViews>
  <sheets>
    <sheet name="1-Stage" sheetId="35" r:id="rId1"/>
    <sheet name="1-Stage DIY" sheetId="43" r:id="rId2"/>
    <sheet name="2-Stage" sheetId="30" r:id="rId3"/>
    <sheet name="2-Stage DIY" sheetId="44" r:id="rId4"/>
    <sheet name="2-Stage SF" sheetId="45" r:id="rId5"/>
    <sheet name="2-Stage SF DIY" sheetId="46" r:id="rId6"/>
    <sheet name="7-Stage" sheetId="47" r:id="rId7"/>
    <sheet name="7-Stage DIY" sheetId="50" r:id="rId8"/>
    <sheet name="7-Stage Streams" sheetId="48" r:id="rId9"/>
    <sheet name="7-Stage Stairs" sheetId="49" r:id="rId10"/>
    <sheet name="Equilibrium" sheetId="33" r:id="rId11"/>
  </sheets>
  <definedNames>
    <definedName name="solver_adj" localSheetId="0" hidden="1">'1-Stage'!$E$8,'1-Stage'!$L$1:$L$2,'1-Stage'!$L$8:$L$9</definedName>
    <definedName name="solver_adj" localSheetId="1" hidden="1">'1-Stage DIY'!$E$8,'1-Stage DIY'!$L$1:$L$2,'1-Stage DIY'!$L$8:$L$9</definedName>
    <definedName name="solver_adj" localSheetId="2" hidden="1">'2-Stage'!$G$3,'2-Stage'!$G$4,'2-Stage'!$G$11,'2-Stage'!$G$12,'2-Stage'!$G$19,'2-Stage'!$O$11,'2-Stage'!$O$12,'2-Stage'!$O$19,'2-Stage'!$O$20</definedName>
    <definedName name="solver_adj" localSheetId="3" hidden="1">'2-Stage DIY'!$G$3,'2-Stage DIY'!$G$4,'2-Stage DIY'!$G$11,'2-Stage DIY'!$G$12,'2-Stage DIY'!$G$19,'2-Stage DIY'!$O$11,'2-Stage DIY'!$O$12,'2-Stage DIY'!$O$19,'2-Stage DIY'!$O$20</definedName>
    <definedName name="solver_adj" localSheetId="4" hidden="1">'2-Stage SF'!$E$3,'2-Stage SF'!$E$11,'2-Stage SF'!$E$19,'2-Stage SF'!$L$11,'2-Stage SF'!$L$19</definedName>
    <definedName name="solver_adj" localSheetId="5" hidden="1">'2-Stage SF DIY'!$E$3,'2-Stage SF DIY'!$E$11,'2-Stage SF DIY'!$E$19,'2-Stage SF DIY'!$L$11,'2-Stage SF DIY'!$L$19</definedName>
    <definedName name="solver_adj" localSheetId="6" hidden="1">'7-Stage'!$B$8:$C$14,'7-Stage'!$C$15,'7-Stage'!$G$2</definedName>
    <definedName name="solver_adj" localSheetId="7" hidden="1">'7-Stage DIY'!$B$8:$C$14,'7-Stage DIY'!$C$15,'7-Stage DIY'!$G$2</definedName>
    <definedName name="solver_adj" localSheetId="10" hidden="1">Equilibrium!$D$3:$D$28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10" hidden="1">0.0001</definedName>
    <definedName name="solver_drv" localSheetId="0" hidden="1">2</definedName>
    <definedName name="solver_drv" localSheetId="1" hidden="1">2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10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10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10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10" hidden="1">2147483647</definedName>
    <definedName name="solver_lhs1" localSheetId="0" hidden="1">'1-Stage'!$B$4:$B$7</definedName>
    <definedName name="solver_lhs1" localSheetId="1" hidden="1">'1-Stage DIY'!$B$4:$B$7</definedName>
    <definedName name="solver_lhs1" localSheetId="2" hidden="1">'2-Stage'!$B$15:$B$18</definedName>
    <definedName name="solver_lhs1" localSheetId="3" hidden="1">'2-Stage DIY'!$B$15:$B$18</definedName>
    <definedName name="solver_lhs1" localSheetId="4" hidden="1">'2-Stage SF'!$B$16:$B$17</definedName>
    <definedName name="solver_lhs1" localSheetId="5" hidden="1">'2-Stage SF DIY'!$B$16:$B$17</definedName>
    <definedName name="solver_lhs1" localSheetId="6" hidden="1">'7-Stage'!$C$17</definedName>
    <definedName name="solver_lhs1" localSheetId="7" hidden="1">'7-Stage DIY'!$C$17</definedName>
    <definedName name="solver_lhs1" localSheetId="10" hidden="1">Equilibrium!$H$4:$H$28</definedName>
    <definedName name="solver_lhs2" localSheetId="2" hidden="1">'2-Stage'!$B$6:$B$9</definedName>
    <definedName name="solver_lhs2" localSheetId="3" hidden="1">'2-Stage DIY'!$B$6:$B$9</definedName>
    <definedName name="solver_lhs2" localSheetId="4" hidden="1">'2-Stage SF'!$B$7:$B$8</definedName>
    <definedName name="solver_lhs2" localSheetId="5" hidden="1">'2-Stage SF DIY'!$B$7:$B$8</definedName>
    <definedName name="solver_lhs2" localSheetId="6" hidden="1">'7-Stage'!$I$8:$J$14</definedName>
    <definedName name="solver_lhs2" localSheetId="7" hidden="1">'7-Stage DIY'!$I$8:$J$14</definedName>
    <definedName name="solver_lhs2" localSheetId="10" hidden="1">Equilibrium!$H$4:$H$10</definedName>
    <definedName name="solver_lhs3" localSheetId="2" hidden="1">'2-Stage'!$B$6:$B$9</definedName>
    <definedName name="solver_lhs3" localSheetId="3" hidden="1">'2-Stage DIY'!$B$6:$B$9</definedName>
    <definedName name="solver_lhs3" localSheetId="4" hidden="1">'2-Stage SF'!$B$7:$B$8</definedName>
    <definedName name="solver_lhs3" localSheetId="5" hidden="1">'2-Stage SF DIY'!$B$7:$B$8</definedName>
    <definedName name="solver_lhs3" localSheetId="6" hidden="1">'7-Stage'!$Q$7:$Q$14</definedName>
    <definedName name="solver_lhs3" localSheetId="7" hidden="1">'7-Stage DIY'!$Q$7:$Q$14</definedName>
    <definedName name="solver_lhs3" localSheetId="10" hidden="1">Equilibrium!#REF!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10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10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10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10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10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10" hidden="1">2147483647</definedName>
    <definedName name="solver_num" localSheetId="0" hidden="1">1</definedName>
    <definedName name="solver_num" localSheetId="1" hidden="1">1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um" localSheetId="6" hidden="1">2</definedName>
    <definedName name="solver_num" localSheetId="7" hidden="1">2</definedName>
    <definedName name="solver_num" localSheetId="10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10" hidden="1">1</definedName>
    <definedName name="solver_opt" localSheetId="0" hidden="1">'1-Stage'!$B$3</definedName>
    <definedName name="solver_opt" localSheetId="1" hidden="1">'1-Stage DIY'!$B$3</definedName>
    <definedName name="solver_opt" localSheetId="2" hidden="1">'2-Stage'!$B$10</definedName>
    <definedName name="solver_opt" localSheetId="3" hidden="1">'2-Stage DIY'!$B$10</definedName>
    <definedName name="solver_opt" localSheetId="4" hidden="1">'2-Stage SF'!$B$9</definedName>
    <definedName name="solver_opt" localSheetId="5" hidden="1">'2-Stage SF DIY'!$B$9</definedName>
    <definedName name="solver_opt" localSheetId="6" hidden="1">'7-Stage'!$K$8</definedName>
    <definedName name="solver_opt" localSheetId="7" hidden="1">'7-Stage DIY'!$K$8</definedName>
    <definedName name="solver_opt" localSheetId="10" hidden="1">Equilibrium!$H$3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10" hidden="1">0.000001</definedName>
    <definedName name="solver_rbv" localSheetId="0" hidden="1">2</definedName>
    <definedName name="solver_rbv" localSheetId="1" hidden="1">2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10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1" localSheetId="5" hidden="1">2</definedName>
    <definedName name="solver_rel1" localSheetId="6" hidden="1">2</definedName>
    <definedName name="solver_rel1" localSheetId="7" hidden="1">2</definedName>
    <definedName name="solver_rel1" localSheetId="10" hidden="1">2</definedName>
    <definedName name="solver_rel2" localSheetId="2" hidden="1">2</definedName>
    <definedName name="solver_rel2" localSheetId="3" hidden="1">2</definedName>
    <definedName name="solver_rel2" localSheetId="4" hidden="1">2</definedName>
    <definedName name="solver_rel2" localSheetId="5" hidden="1">2</definedName>
    <definedName name="solver_rel2" localSheetId="6" hidden="1">2</definedName>
    <definedName name="solver_rel2" localSheetId="7" hidden="1">2</definedName>
    <definedName name="solver_rel2" localSheetId="10" hidden="1">2</definedName>
    <definedName name="solver_rel3" localSheetId="2" hidden="1">2</definedName>
    <definedName name="solver_rel3" localSheetId="3" hidden="1">2</definedName>
    <definedName name="solver_rel3" localSheetId="4" hidden="1">2</definedName>
    <definedName name="solver_rel3" localSheetId="5" hidden="1">2</definedName>
    <definedName name="solver_rel3" localSheetId="6" hidden="1">2</definedName>
    <definedName name="solver_rel3" localSheetId="7" hidden="1">2</definedName>
    <definedName name="solver_rel3" localSheetId="10" hidden="1">2</definedName>
    <definedName name="solver_rhs1" localSheetId="0" hidden="1">0</definedName>
    <definedName name="solver_rhs1" localSheetId="1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1" localSheetId="7" hidden="1">0</definedName>
    <definedName name="solver_rhs1" localSheetId="10" hidden="1">0</definedName>
    <definedName name="solver_rhs2" localSheetId="2" hidden="1">0</definedName>
    <definedName name="solver_rhs2" localSheetId="3" hidden="1">0</definedName>
    <definedName name="solver_rhs2" localSheetId="4" hidden="1">0</definedName>
    <definedName name="solver_rhs2" localSheetId="5" hidden="1">0</definedName>
    <definedName name="solver_rhs2" localSheetId="6" hidden="1">0</definedName>
    <definedName name="solver_rhs2" localSheetId="7" hidden="1">0</definedName>
    <definedName name="solver_rhs2" localSheetId="10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3" localSheetId="5" hidden="1">0</definedName>
    <definedName name="solver_rhs3" localSheetId="6" hidden="1">0</definedName>
    <definedName name="solver_rhs3" localSheetId="7" hidden="1">0</definedName>
    <definedName name="solver_rhs3" localSheetId="10" hidden="1">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10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10" hidden="1">0</definedName>
    <definedName name="solver_scl" localSheetId="0" hidden="1">2</definedName>
    <definedName name="solver_scl" localSheetId="1" hidden="1">2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cl" localSheetId="10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10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10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10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10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typ" localSheetId="10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10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1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47" l="1"/>
  <c r="O18" i="47"/>
  <c r="O20" i="47"/>
  <c r="O17" i="47"/>
  <c r="C17" i="47"/>
  <c r="E15" i="47"/>
  <c r="E14" i="47"/>
  <c r="D14" i="47"/>
  <c r="F14" i="47" s="1"/>
  <c r="Q13" i="47"/>
  <c r="P13" i="47"/>
  <c r="O13" i="47"/>
  <c r="S20" i="47" s="1"/>
  <c r="N13" i="47"/>
  <c r="R20" i="47" s="1"/>
  <c r="E13" i="47"/>
  <c r="D13" i="47"/>
  <c r="Q12" i="47"/>
  <c r="P12" i="47"/>
  <c r="O12" i="47"/>
  <c r="S19" i="47" s="1"/>
  <c r="N12" i="47"/>
  <c r="R17" i="47" s="1"/>
  <c r="E12" i="47"/>
  <c r="D12" i="47"/>
  <c r="Q11" i="47"/>
  <c r="P11" i="47"/>
  <c r="O11" i="47"/>
  <c r="S16" i="47" s="1"/>
  <c r="N11" i="47"/>
  <c r="R16" i="47" s="1"/>
  <c r="E11" i="47"/>
  <c r="D11" i="47"/>
  <c r="Q10" i="47"/>
  <c r="P10" i="47"/>
  <c r="O10" i="47"/>
  <c r="S15" i="47" s="1"/>
  <c r="N10" i="47"/>
  <c r="R13" i="47" s="1"/>
  <c r="E10" i="47"/>
  <c r="D10" i="47"/>
  <c r="F10" i="47" s="1"/>
  <c r="G10" i="47" s="1"/>
  <c r="Q9" i="47"/>
  <c r="P9" i="47"/>
  <c r="O9" i="47"/>
  <c r="S12" i="47" s="1"/>
  <c r="N9" i="47"/>
  <c r="R11" i="47" s="1"/>
  <c r="E9" i="47"/>
  <c r="D9" i="47"/>
  <c r="F9" i="47" s="1"/>
  <c r="Q8" i="47"/>
  <c r="P8" i="47"/>
  <c r="O8" i="47"/>
  <c r="S11" i="47" s="1"/>
  <c r="N8" i="47"/>
  <c r="R9" i="47" s="1"/>
  <c r="E8" i="47"/>
  <c r="D8" i="47"/>
  <c r="Q7" i="47"/>
  <c r="P7" i="47"/>
  <c r="O7" i="47"/>
  <c r="S9" i="47" s="1"/>
  <c r="N7" i="47"/>
  <c r="R7" i="47" s="1"/>
  <c r="Q6" i="47"/>
  <c r="P6" i="47"/>
  <c r="O6" i="47"/>
  <c r="S7" i="47" s="1"/>
  <c r="K4" i="47"/>
  <c r="G3" i="47"/>
  <c r="I11" i="47" s="1"/>
  <c r="H10" i="47" l="1"/>
  <c r="J10" i="47" s="1"/>
  <c r="S6" i="47"/>
  <c r="R18" i="47"/>
  <c r="F13" i="47"/>
  <c r="G13" i="47" s="1"/>
  <c r="H13" i="47" s="1"/>
  <c r="J13" i="47" s="1"/>
  <c r="R8" i="47"/>
  <c r="R14" i="47"/>
  <c r="S8" i="47"/>
  <c r="G9" i="47"/>
  <c r="H9" i="47" s="1"/>
  <c r="J9" i="47" s="1"/>
  <c r="R15" i="47"/>
  <c r="G14" i="47"/>
  <c r="H14" i="47" s="1"/>
  <c r="J14" i="47" s="1"/>
  <c r="R10" i="47"/>
  <c r="S13" i="47"/>
  <c r="S10" i="47"/>
  <c r="F12" i="47"/>
  <c r="G12" i="47" s="1"/>
  <c r="H12" i="47" s="1"/>
  <c r="J12" i="47" s="1"/>
  <c r="I13" i="47"/>
  <c r="S14" i="47"/>
  <c r="S17" i="47"/>
  <c r="B7" i="47"/>
  <c r="S18" i="47"/>
  <c r="I10" i="47"/>
  <c r="F8" i="47"/>
  <c r="G8" i="47" s="1"/>
  <c r="H8" i="47" s="1"/>
  <c r="J8" i="47" s="1"/>
  <c r="F11" i="47"/>
  <c r="G11" i="47" s="1"/>
  <c r="H11" i="47" s="1"/>
  <c r="J11" i="47" s="1"/>
  <c r="I12" i="47"/>
  <c r="R19" i="47"/>
  <c r="R12" i="47"/>
  <c r="I9" i="47"/>
  <c r="I14" i="47"/>
  <c r="I8" i="47" l="1"/>
  <c r="K8" i="47"/>
  <c r="N6" i="47"/>
  <c r="R6" i="47" s="1"/>
  <c r="D7" i="47"/>
  <c r="F7" i="47" l="1"/>
  <c r="G7" i="47" s="1"/>
  <c r="H7" i="47" s="1"/>
  <c r="P15" i="45" l="1"/>
  <c r="P16" i="45" s="1"/>
  <c r="P17" i="45" s="1"/>
  <c r="P6" i="45"/>
  <c r="P7" i="45" s="1"/>
  <c r="P8" i="45" s="1"/>
  <c r="B16" i="45"/>
  <c r="B9" i="45"/>
  <c r="B7" i="45"/>
  <c r="L4" i="45"/>
  <c r="L3" i="45"/>
  <c r="P14" i="45"/>
  <c r="P5" i="45"/>
  <c r="P18" i="45" l="1"/>
  <c r="B17" i="45" s="1"/>
  <c r="P9" i="45"/>
  <c r="B8" i="45" s="1"/>
  <c r="L12" i="35"/>
  <c r="L13" i="35" s="1"/>
  <c r="L14" i="35" s="1"/>
  <c r="B7" i="35" s="1"/>
  <c r="L11" i="35"/>
  <c r="B6" i="35"/>
  <c r="B5" i="35"/>
  <c r="B4" i="35"/>
  <c r="B3" i="35"/>
  <c r="B19" i="33" l="1"/>
  <c r="C19" i="33"/>
  <c r="E19" i="33" s="1"/>
  <c r="B20" i="33"/>
  <c r="C20" i="33"/>
  <c r="E20" i="33"/>
  <c r="F20" i="33" s="1"/>
  <c r="B21" i="33"/>
  <c r="C21" i="33"/>
  <c r="B22" i="33"/>
  <c r="C22" i="33"/>
  <c r="E22" i="33" s="1"/>
  <c r="F22" i="33" s="1"/>
  <c r="B23" i="33"/>
  <c r="C23" i="33"/>
  <c r="E23" i="33" s="1"/>
  <c r="B24" i="33"/>
  <c r="C24" i="33"/>
  <c r="E24" i="33" s="1"/>
  <c r="F24" i="33" s="1"/>
  <c r="B25" i="33"/>
  <c r="C25" i="33"/>
  <c r="B26" i="33"/>
  <c r="C26" i="33"/>
  <c r="E26" i="33" s="1"/>
  <c r="F26" i="33" s="1"/>
  <c r="B27" i="33"/>
  <c r="C27" i="33"/>
  <c r="E27" i="33" s="1"/>
  <c r="B28" i="33"/>
  <c r="C28" i="33"/>
  <c r="E28" i="33"/>
  <c r="F28" i="33" s="1"/>
  <c r="F27" i="33" l="1"/>
  <c r="F23" i="33"/>
  <c r="F19" i="33"/>
  <c r="E25" i="33"/>
  <c r="F25" i="33" s="1"/>
  <c r="E21" i="33"/>
  <c r="F21" i="33" s="1"/>
  <c r="L10" i="33"/>
  <c r="G24" i="33" s="1"/>
  <c r="H24" i="33" s="1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3" i="33"/>
  <c r="C11" i="33"/>
  <c r="C12" i="33"/>
  <c r="E12" i="33" s="1"/>
  <c r="C13" i="33"/>
  <c r="E13" i="33" s="1"/>
  <c r="F13" i="33" s="1"/>
  <c r="C14" i="33"/>
  <c r="E14" i="33" s="1"/>
  <c r="F14" i="33" s="1"/>
  <c r="C15" i="33"/>
  <c r="E15" i="33" s="1"/>
  <c r="C16" i="33"/>
  <c r="E16" i="33" s="1"/>
  <c r="C17" i="33"/>
  <c r="E17" i="33" s="1"/>
  <c r="F17" i="33" s="1"/>
  <c r="C18" i="33"/>
  <c r="E18" i="33" s="1"/>
  <c r="F18" i="33" s="1"/>
  <c r="C10" i="33"/>
  <c r="C9" i="33"/>
  <c r="E9" i="33" s="1"/>
  <c r="F9" i="33" s="1"/>
  <c r="C8" i="33"/>
  <c r="C7" i="33"/>
  <c r="C6" i="33"/>
  <c r="E6" i="33" s="1"/>
  <c r="C5" i="33"/>
  <c r="E5" i="33" s="1"/>
  <c r="F5" i="33" s="1"/>
  <c r="C4" i="33"/>
  <c r="E4" i="33" s="1"/>
  <c r="F4" i="33" s="1"/>
  <c r="G5" i="33" l="1"/>
  <c r="H5" i="33" s="1"/>
  <c r="G9" i="33"/>
  <c r="H9" i="33" s="1"/>
  <c r="G27" i="33"/>
  <c r="H27" i="33" s="1"/>
  <c r="G19" i="33"/>
  <c r="H19" i="33" s="1"/>
  <c r="G4" i="33"/>
  <c r="H4" i="33" s="1"/>
  <c r="G17" i="33"/>
  <c r="H17" i="33" s="1"/>
  <c r="G13" i="33"/>
  <c r="H13" i="33" s="1"/>
  <c r="G23" i="33"/>
  <c r="H23" i="33" s="1"/>
  <c r="G22" i="33"/>
  <c r="H22" i="33" s="1"/>
  <c r="G25" i="33"/>
  <c r="H25" i="33" s="1"/>
  <c r="G28" i="33"/>
  <c r="H28" i="33" s="1"/>
  <c r="G26" i="33"/>
  <c r="H26" i="33" s="1"/>
  <c r="G18" i="33"/>
  <c r="H18" i="33" s="1"/>
  <c r="G14" i="33"/>
  <c r="H14" i="33" s="1"/>
  <c r="G20" i="33"/>
  <c r="H20" i="33" s="1"/>
  <c r="G21" i="33"/>
  <c r="H21" i="33" s="1"/>
  <c r="F16" i="33"/>
  <c r="G16" i="33" s="1"/>
  <c r="H16" i="33" s="1"/>
  <c r="E11" i="33"/>
  <c r="F11" i="33" s="1"/>
  <c r="G11" i="33" s="1"/>
  <c r="H11" i="33" s="1"/>
  <c r="F15" i="33"/>
  <c r="G15" i="33" s="1"/>
  <c r="H15" i="33" s="1"/>
  <c r="F12" i="33"/>
  <c r="G12" i="33" s="1"/>
  <c r="H12" i="33" s="1"/>
  <c r="E10" i="33"/>
  <c r="F10" i="33" s="1"/>
  <c r="E7" i="33"/>
  <c r="F7" i="33" s="1"/>
  <c r="F6" i="33"/>
  <c r="E8" i="33"/>
  <c r="F8" i="33" s="1"/>
  <c r="G8" i="33" l="1"/>
  <c r="H8" i="33" s="1"/>
  <c r="G7" i="33"/>
  <c r="H7" i="33" s="1"/>
  <c r="G10" i="33"/>
  <c r="H10" i="33" s="1"/>
  <c r="G6" i="33"/>
  <c r="H6" i="33" s="1"/>
  <c r="C3" i="33"/>
  <c r="B17" i="30"/>
  <c r="B16" i="30"/>
  <c r="B8" i="30"/>
  <c r="B7" i="30"/>
  <c r="S15" i="30"/>
  <c r="S16" i="30" s="1"/>
  <c r="S14" i="30"/>
  <c r="B15" i="30"/>
  <c r="B10" i="30"/>
  <c r="S6" i="30"/>
  <c r="S7" i="30" s="1"/>
  <c r="B6" i="30"/>
  <c r="S5" i="30"/>
  <c r="E3" i="33" l="1"/>
  <c r="F3" i="33" s="1"/>
  <c r="S17" i="30"/>
  <c r="B18" i="30" s="1"/>
  <c r="S8" i="30"/>
  <c r="B9" i="30" s="1"/>
  <c r="G3" i="33" l="1"/>
  <c r="H3" i="33" s="1"/>
</calcChain>
</file>

<file path=xl/sharedStrings.xml><?xml version="1.0" encoding="utf-8"?>
<sst xmlns="http://schemas.openxmlformats.org/spreadsheetml/2006/main" count="419" uniqueCount="119">
  <si>
    <t>W MB:</t>
  </si>
  <si>
    <t>Stage</t>
  </si>
  <si>
    <t>X</t>
  </si>
  <si>
    <t>Y</t>
  </si>
  <si>
    <t>K =</t>
  </si>
  <si>
    <t>E MB:</t>
  </si>
  <si>
    <t>Eq:</t>
  </si>
  <si>
    <t>Passing Streams</t>
  </si>
  <si>
    <t>Leaving Streams</t>
  </si>
  <si>
    <t>(8)</t>
  </si>
  <si>
    <t>Stair Steps</t>
  </si>
  <si>
    <t>(0)</t>
  </si>
  <si>
    <t xml:space="preserve">G' = </t>
  </si>
  <si>
    <t xml:space="preserve">L' = </t>
  </si>
  <si>
    <t>EQ</t>
  </si>
  <si>
    <t>MB</t>
  </si>
  <si>
    <t>Calculations</t>
  </si>
  <si>
    <t>Graphical Analysis</t>
  </si>
  <si>
    <r>
      <t>G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(mol) =</t>
    </r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</si>
  <si>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(mol E/mol) =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</si>
  <si>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(mol) =</t>
    </r>
  </si>
  <si>
    <r>
      <t>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(mol) =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</si>
  <si>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(mol E/mol) =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</si>
  <si>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(mol) =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</si>
  <si>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(mol E/mol) =</t>
    </r>
  </si>
  <si>
    <t>Stage 1 Equations</t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</si>
  <si>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(mol E/mol) =</t>
    </r>
  </si>
  <si>
    <t>Equil:</t>
  </si>
  <si>
    <t>Stage 2 Equations</t>
  </si>
  <si>
    <r>
      <t>G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(mol) =</t>
    </r>
  </si>
  <si>
    <r>
      <t>y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(mol E/mol) =</t>
    </r>
  </si>
  <si>
    <r>
      <t>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(mol E/mol) =</t>
    </r>
  </si>
  <si>
    <t>PS (%) =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</si>
  <si>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:</t>
    </r>
  </si>
  <si>
    <t>P (mm Hg) =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</si>
  <si>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 =</t>
    </r>
  </si>
  <si>
    <t>2-Stage Stripper DIY</t>
  </si>
  <si>
    <t>Antoine Constants</t>
  </si>
  <si>
    <t>Wilson</t>
  </si>
  <si>
    <t>A</t>
  </si>
  <si>
    <t>B</t>
  </si>
  <si>
    <t>C</t>
  </si>
  <si>
    <t>D</t>
  </si>
  <si>
    <t>Ethanol</t>
  </si>
  <si>
    <t>Water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</si>
  <si>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* (mm Hg) =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</si>
  <si>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</si>
  <si>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</si>
  <si>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t>PS %:</t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</si>
  <si>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(mol) =</t>
    </r>
  </si>
  <si>
    <t>A MB:</t>
  </si>
  <si>
    <t>x</t>
  </si>
  <si>
    <t>y</t>
  </si>
  <si>
    <t>f</t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</si>
  <si>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E</t>
    </r>
  </si>
  <si>
    <t>K</t>
  </si>
  <si>
    <t>PS</t>
  </si>
  <si>
    <t>S</t>
  </si>
  <si>
    <t>1-Stage Stripper</t>
  </si>
  <si>
    <t>Equations</t>
  </si>
  <si>
    <t>PS:</t>
  </si>
  <si>
    <t>2-Stage Stripper DIY with solute-free variables</t>
  </si>
  <si>
    <t>P [=] mm Hg</t>
  </si>
  <si>
    <t>x, y [=] mol E/mol</t>
  </si>
  <si>
    <r>
      <t xml:space="preserve">T [=] 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</t>
    </r>
  </si>
  <si>
    <t>L =</t>
  </si>
  <si>
    <r>
      <t>x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</si>
  <si>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</si>
  <si>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</si>
  <si>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</si>
  <si>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y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=</t>
    </r>
  </si>
  <si>
    <t>PS (% ) =</t>
  </si>
  <si>
    <r>
      <t xml:space="preserve">T </t>
    </r>
    <r>
      <rPr>
        <sz val="11"/>
        <color theme="1"/>
        <rFont val="Calibri"/>
        <family val="2"/>
        <scheme val="minor"/>
      </rPr>
      <t>=</t>
    </r>
  </si>
  <si>
    <t>P =</t>
  </si>
  <si>
    <r>
      <t>x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</si>
  <si>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</si>
  <si>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(mm Hg) =</t>
    </r>
  </si>
  <si>
    <t>Instructions:</t>
  </si>
  <si>
    <t>Input reasonable initial guesses for all values. Be careful not to replace any cells with equations. These cells are orange.</t>
  </si>
  <si>
    <t>Run solver. Observe how the values have changed.</t>
  </si>
  <si>
    <r>
      <t>Input the specifications - 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 % stripped, inlet gas composition (labeled 'Feed'), P, and T. These cells are yellow.</t>
    </r>
  </si>
  <si>
    <t>Study page 7-Stage XY Stair. It is automatically updated when you change specifications. You may need to reformat the axes.</t>
  </si>
  <si>
    <t>T</t>
  </si>
  <si>
    <t>R</t>
  </si>
  <si>
    <t xml:space="preserve">Instructions: 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</si>
  <si>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is automatically calculated using Antoine's Equation.</t>
    </r>
  </si>
  <si>
    <t>Run Solver to find correct flowrates and compositions.</t>
  </si>
  <si>
    <r>
      <t>Specifiy L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y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, T, P, and % recovered. </t>
    </r>
  </si>
  <si>
    <r>
      <t>Input guesses for G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G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y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and x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.</t>
    </r>
  </si>
  <si>
    <r>
      <t>K is automatically calculated using the modified Raoult's Law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</si>
  <si>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calculated using Wilson equation.</t>
    </r>
  </si>
  <si>
    <t>Input guesses for all other flow rates and compositions.</t>
  </si>
  <si>
    <t>Specified</t>
  </si>
  <si>
    <t>Iterated</t>
  </si>
  <si>
    <t>Objectives</t>
  </si>
  <si>
    <t>G, L [=] mol/s</t>
  </si>
  <si>
    <t>2-Stage Stripper</t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</si>
  <si>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</si>
  <si>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</si>
  <si>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</si>
  <si>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T =</t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</si>
  <si>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</si>
  <si>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</si>
  <si>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L' =</t>
  </si>
  <si>
    <r>
      <t>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</si>
  <si>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</si>
  <si>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</si>
  <si>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G' =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</si>
  <si>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</si>
  <si>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</si>
  <si>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PS =</t>
  </si>
  <si>
    <r>
      <t>Y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:</t>
    </r>
  </si>
  <si>
    <t>7 Stage Stripping Column</t>
  </si>
  <si>
    <t>Operating Line</t>
  </si>
  <si>
    <t>Slope =</t>
  </si>
  <si>
    <t>Intercept =</t>
  </si>
  <si>
    <t>X [=] mol E/mol W</t>
  </si>
  <si>
    <t>Y [=] mol E/mol A</t>
  </si>
  <si>
    <r>
      <t>T [=]</t>
    </r>
    <r>
      <rPr>
        <vertAlign val="superscript"/>
        <sz val="11"/>
        <color theme="1"/>
        <rFont val="Calibri"/>
        <family val="2"/>
        <scheme val="minor"/>
      </rPr>
      <t xml:space="preserve"> o</t>
    </r>
    <r>
      <rPr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</si>
</sst>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000"/>
    <numFmt numFmtId="167" formatCode="0.0000"/>
    <numFmt numFmtId="168" formatCode="0.000"/>
  </numFmts>
  <fonts count="9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 style="thick">
        <color rgb="FFFF0000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FF0000"/>
      </left>
      <right style="thick">
        <color rgb="FF00B0F0"/>
      </right>
      <top style="thick">
        <color auto="1"/>
      </top>
      <bottom/>
      <diagonal/>
    </border>
    <border>
      <left style="thick">
        <color rgb="FFFF0000"/>
      </left>
      <right style="thick">
        <color rgb="FF00B0F0"/>
      </right>
      <top/>
      <bottom/>
      <diagonal/>
    </border>
    <border>
      <left style="thick">
        <color rgb="FFFF0000"/>
      </left>
      <right style="thick">
        <color rgb="FF00B0F0"/>
      </right>
      <top/>
      <bottom style="thick">
        <color auto="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 style="thick">
        <color theme="7" tint="-0.499984740745262"/>
      </left>
      <right/>
      <top style="thick">
        <color theme="7" tint="-0.499984740745262"/>
      </top>
      <bottom style="thick">
        <color theme="7" tint="-0.499984740745262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thick">
        <color theme="7" tint="-0.499984740745262"/>
      </left>
      <right/>
      <top style="thick">
        <color theme="7" tint="-0.499984740745262"/>
      </top>
      <bottom/>
      <diagonal/>
    </border>
    <border>
      <left/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/>
      <top/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 style="thick">
        <color theme="7" tint="-0.499984740745262"/>
      </top>
      <bottom/>
      <diagonal/>
    </border>
    <border>
      <left/>
      <right/>
      <top/>
      <bottom style="thick">
        <color theme="7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 style="thick">
        <color theme="7" tint="-0.499984740745262"/>
      </top>
      <bottom style="thick">
        <color theme="7" tint="-0.499984740745262"/>
      </bottom>
      <diagonal/>
    </border>
    <border>
      <left style="thick">
        <color theme="9" tint="-0.499984740745262"/>
      </left>
      <right/>
      <top style="thick">
        <color theme="0" tint="-0.499984740745262"/>
      </top>
      <bottom/>
      <diagonal/>
    </border>
  </borders>
  <cellStyleXfs count="2">
    <xf numFmtId="0" fontId="0" fillId="0" borderId="0"/>
    <xf numFmtId="0" fontId="7" fillId="7" borderId="61" applyNumberFormat="0" applyAlignment="0" applyProtection="0"/>
  </cellStyleXfs>
  <cellXfs count="278">
    <xf numFmtId="0" fontId="0" fillId="0" borderId="0" xfId="0"/>
    <xf numFmtId="166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3" borderId="0" xfId="0" applyFill="1" applyBorder="1"/>
    <xf numFmtId="166" fontId="0" fillId="0" borderId="0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2" borderId="38" xfId="0" applyFill="1" applyBorder="1"/>
    <xf numFmtId="165" fontId="0" fillId="2" borderId="42" xfId="0" applyNumberFormat="1" applyFill="1" applyBorder="1" applyAlignment="1">
      <alignment horizontal="left"/>
    </xf>
    <xf numFmtId="0" fontId="0" fillId="4" borderId="22" xfId="0" applyFill="1" applyBorder="1"/>
    <xf numFmtId="0" fontId="0" fillId="4" borderId="24" xfId="0" applyFill="1" applyBorder="1"/>
    <xf numFmtId="0" fontId="0" fillId="4" borderId="27" xfId="0" applyFill="1" applyBorder="1" applyAlignment="1">
      <alignment horizontal="right"/>
    </xf>
    <xf numFmtId="0" fontId="0" fillId="2" borderId="45" xfId="0" applyFill="1" applyBorder="1" applyAlignment="1">
      <alignment horizontal="righ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left"/>
    </xf>
    <xf numFmtId="164" fontId="0" fillId="2" borderId="44" xfId="0" applyNumberFormat="1" applyFill="1" applyBorder="1" applyAlignment="1">
      <alignment horizontal="left"/>
    </xf>
    <xf numFmtId="165" fontId="0" fillId="4" borderId="29" xfId="0" applyNumberForma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5" xfId="0" applyFill="1" applyBorder="1"/>
    <xf numFmtId="0" fontId="0" fillId="2" borderId="44" xfId="0" applyFill="1" applyBorder="1"/>
    <xf numFmtId="0" fontId="0" fillId="0" borderId="0" xfId="0" applyFill="1" applyBorder="1" applyAlignment="1">
      <alignment horizontal="left"/>
    </xf>
    <xf numFmtId="0" fontId="4" fillId="3" borderId="14" xfId="0" applyFont="1" applyFill="1" applyBorder="1"/>
    <xf numFmtId="0" fontId="4" fillId="3" borderId="20" xfId="0" applyFont="1" applyFill="1" applyBorder="1"/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 horizontal="center"/>
    </xf>
    <xf numFmtId="168" fontId="4" fillId="3" borderId="17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0" fontId="4" fillId="3" borderId="18" xfId="0" applyFont="1" applyFill="1" applyBorder="1"/>
    <xf numFmtId="168" fontId="4" fillId="3" borderId="21" xfId="0" applyNumberFormat="1" applyFont="1" applyFill="1" applyBorder="1" applyAlignment="1">
      <alignment horizontal="center"/>
    </xf>
    <xf numFmtId="168" fontId="4" fillId="3" borderId="19" xfId="0" applyNumberFormat="1" applyFont="1" applyFill="1" applyBorder="1" applyAlignment="1">
      <alignment horizontal="center"/>
    </xf>
    <xf numFmtId="167" fontId="4" fillId="3" borderId="47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right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6" borderId="48" xfId="0" applyFill="1" applyBorder="1"/>
    <xf numFmtId="0" fontId="0" fillId="6" borderId="13" xfId="0" applyFill="1" applyBorder="1" applyAlignment="1">
      <alignment horizontal="right"/>
    </xf>
    <xf numFmtId="0" fontId="0" fillId="6" borderId="49" xfId="0" applyFill="1" applyBorder="1"/>
    <xf numFmtId="0" fontId="0" fillId="6" borderId="5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6" borderId="33" xfId="0" applyFill="1" applyBorder="1" applyAlignment="1">
      <alignment horizontal="left"/>
    </xf>
    <xf numFmtId="0" fontId="0" fillId="6" borderId="51" xfId="0" applyFill="1" applyBorder="1"/>
    <xf numFmtId="164" fontId="0" fillId="6" borderId="10" xfId="0" applyNumberForma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67" fontId="0" fillId="4" borderId="25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67" fontId="0" fillId="4" borderId="27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right"/>
    </xf>
    <xf numFmtId="167" fontId="0" fillId="4" borderId="22" xfId="0" applyNumberForma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54" xfId="0" applyBorder="1"/>
    <xf numFmtId="0" fontId="0" fillId="0" borderId="48" xfId="0" applyBorder="1"/>
    <xf numFmtId="0" fontId="0" fillId="2" borderId="41" xfId="0" applyFill="1" applyBorder="1" applyAlignment="1">
      <alignment horizontal="right"/>
    </xf>
    <xf numFmtId="0" fontId="0" fillId="0" borderId="50" xfId="0" applyBorder="1"/>
    <xf numFmtId="0" fontId="0" fillId="2" borderId="53" xfId="0" applyFill="1" applyBorder="1"/>
    <xf numFmtId="167" fontId="0" fillId="0" borderId="0" xfId="0" applyNumberFormat="1" applyFill="1" applyBorder="1" applyAlignment="1">
      <alignment horizontal="center"/>
    </xf>
    <xf numFmtId="0" fontId="0" fillId="4" borderId="27" xfId="0" applyFill="1" applyBorder="1"/>
    <xf numFmtId="165" fontId="0" fillId="2" borderId="55" xfId="0" applyNumberFormat="1" applyFill="1" applyBorder="1" applyAlignment="1">
      <alignment horizontal="left"/>
    </xf>
    <xf numFmtId="0" fontId="0" fillId="6" borderId="52" xfId="0" applyFill="1" applyBorder="1" applyAlignment="1">
      <alignment horizontal="left"/>
    </xf>
    <xf numFmtId="0" fontId="0" fillId="4" borderId="57" xfId="0" applyFill="1" applyBorder="1" applyAlignment="1">
      <alignment horizontal="center"/>
    </xf>
    <xf numFmtId="167" fontId="0" fillId="2" borderId="58" xfId="0" applyNumberFormat="1" applyFill="1" applyBorder="1" applyAlignment="1">
      <alignment horizontal="center"/>
    </xf>
    <xf numFmtId="167" fontId="0" fillId="2" borderId="59" xfId="0" applyNumberForma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165" fontId="0" fillId="2" borderId="60" xfId="0" applyNumberFormat="1" applyFill="1" applyBorder="1" applyAlignment="1">
      <alignment horizontal="center"/>
    </xf>
    <xf numFmtId="165" fontId="0" fillId="2" borderId="58" xfId="0" applyNumberFormat="1" applyFill="1" applyBorder="1" applyAlignment="1">
      <alignment horizontal="center"/>
    </xf>
    <xf numFmtId="165" fontId="0" fillId="2" borderId="59" xfId="0" applyNumberFormat="1" applyFill="1" applyBorder="1" applyAlignment="1">
      <alignment horizontal="center"/>
    </xf>
    <xf numFmtId="0" fontId="0" fillId="4" borderId="28" xfId="0" applyFill="1" applyBorder="1" applyAlignment="1">
      <alignment horizontal="right"/>
    </xf>
    <xf numFmtId="165" fontId="0" fillId="2" borderId="40" xfId="0" applyNumberFormat="1" applyFill="1" applyBorder="1" applyAlignment="1">
      <alignment horizontal="left"/>
    </xf>
    <xf numFmtId="0" fontId="4" fillId="3" borderId="14" xfId="1" applyFont="1" applyFill="1" applyBorder="1"/>
    <xf numFmtId="0" fontId="4" fillId="3" borderId="20" xfId="1" applyFont="1" applyFill="1" applyBorder="1"/>
    <xf numFmtId="0" fontId="0" fillId="3" borderId="15" xfId="0" applyFont="1" applyFill="1" applyBorder="1"/>
    <xf numFmtId="0" fontId="4" fillId="3" borderId="18" xfId="1" applyFont="1" applyFill="1" applyBorder="1"/>
    <xf numFmtId="0" fontId="4" fillId="3" borderId="21" xfId="1" applyFont="1" applyFill="1" applyBorder="1"/>
    <xf numFmtId="0" fontId="0" fillId="3" borderId="19" xfId="0" applyFont="1" applyFill="1" applyBorder="1"/>
    <xf numFmtId="0" fontId="0" fillId="2" borderId="43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4" borderId="62" xfId="0" applyFill="1" applyBorder="1" applyAlignment="1">
      <alignment horizontal="right"/>
    </xf>
    <xf numFmtId="164" fontId="0" fillId="4" borderId="63" xfId="0" applyNumberFormat="1" applyFill="1" applyBorder="1" applyAlignment="1">
      <alignment horizontal="left"/>
    </xf>
    <xf numFmtId="0" fontId="0" fillId="3" borderId="14" xfId="0" applyFill="1" applyBorder="1"/>
    <xf numFmtId="0" fontId="0" fillId="3" borderId="20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19" xfId="0" applyFill="1" applyBorder="1"/>
    <xf numFmtId="0" fontId="0" fillId="3" borderId="14" xfId="0" applyFont="1" applyFill="1" applyBorder="1"/>
    <xf numFmtId="0" fontId="0" fillId="3" borderId="16" xfId="0" applyFont="1" applyFill="1" applyBorder="1"/>
    <xf numFmtId="0" fontId="0" fillId="3" borderId="18" xfId="0" applyFont="1" applyFill="1" applyBorder="1"/>
    <xf numFmtId="0" fontId="0" fillId="3" borderId="16" xfId="0" applyFill="1" applyBorder="1" applyAlignment="1">
      <alignment horizontal="left"/>
    </xf>
    <xf numFmtId="0" fontId="0" fillId="2" borderId="40" xfId="0" applyFill="1" applyBorder="1"/>
    <xf numFmtId="9" fontId="0" fillId="2" borderId="43" xfId="0" applyNumberFormat="1" applyFill="1" applyBorder="1" applyAlignment="1">
      <alignment horizontal="right"/>
    </xf>
    <xf numFmtId="0" fontId="0" fillId="8" borderId="64" xfId="0" applyFill="1" applyBorder="1" applyAlignment="1">
      <alignment horizontal="right"/>
    </xf>
    <xf numFmtId="164" fontId="0" fillId="8" borderId="65" xfId="0" applyNumberFormat="1" applyFill="1" applyBorder="1" applyAlignment="1">
      <alignment horizontal="left"/>
    </xf>
    <xf numFmtId="0" fontId="0" fillId="8" borderId="66" xfId="0" applyFill="1" applyBorder="1" applyAlignment="1">
      <alignment horizontal="right"/>
    </xf>
    <xf numFmtId="168" fontId="0" fillId="8" borderId="67" xfId="0" applyNumberFormat="1" applyFill="1" applyBorder="1" applyAlignment="1">
      <alignment horizontal="left"/>
    </xf>
    <xf numFmtId="0" fontId="0" fillId="8" borderId="68" xfId="0" applyFill="1" applyBorder="1"/>
    <xf numFmtId="0" fontId="0" fillId="8" borderId="70" xfId="0" applyFill="1" applyBorder="1"/>
    <xf numFmtId="0" fontId="0" fillId="8" borderId="64" xfId="0" applyFill="1" applyBorder="1"/>
    <xf numFmtId="0" fontId="0" fillId="9" borderId="72" xfId="0" applyFill="1" applyBorder="1"/>
    <xf numFmtId="0" fontId="0" fillId="8" borderId="68" xfId="0" applyFill="1" applyBorder="1" applyAlignment="1">
      <alignment horizontal="right"/>
    </xf>
    <xf numFmtId="168" fontId="0" fillId="4" borderId="29" xfId="0" applyNumberFormat="1" applyFill="1" applyBorder="1" applyAlignment="1">
      <alignment horizontal="left"/>
    </xf>
    <xf numFmtId="1" fontId="0" fillId="8" borderId="67" xfId="0" applyNumberFormat="1" applyFill="1" applyBorder="1" applyAlignment="1">
      <alignment horizontal="left"/>
    </xf>
    <xf numFmtId="0" fontId="0" fillId="9" borderId="74" xfId="0" applyFill="1" applyBorder="1" applyAlignment="1">
      <alignment horizontal="right"/>
    </xf>
    <xf numFmtId="164" fontId="0" fillId="9" borderId="75" xfId="0" applyNumberFormat="1" applyFill="1" applyBorder="1" applyAlignment="1">
      <alignment horizontal="left"/>
    </xf>
    <xf numFmtId="0" fontId="0" fillId="9" borderId="76" xfId="0" applyFill="1" applyBorder="1" applyAlignment="1">
      <alignment horizontal="right"/>
    </xf>
    <xf numFmtId="168" fontId="0" fillId="9" borderId="77" xfId="0" applyNumberFormat="1" applyFill="1" applyBorder="1" applyAlignment="1">
      <alignment horizontal="left"/>
    </xf>
    <xf numFmtId="2" fontId="0" fillId="9" borderId="77" xfId="0" applyNumberFormat="1" applyFill="1" applyBorder="1" applyAlignment="1">
      <alignment horizontal="left"/>
    </xf>
    <xf numFmtId="0" fontId="4" fillId="9" borderId="78" xfId="0" applyFont="1" applyFill="1" applyBorder="1" applyAlignment="1">
      <alignment horizontal="right"/>
    </xf>
    <xf numFmtId="168" fontId="4" fillId="9" borderId="79" xfId="0" applyNumberFormat="1" applyFont="1" applyFill="1" applyBorder="1" applyAlignment="1">
      <alignment horizontal="left"/>
    </xf>
    <xf numFmtId="0" fontId="0" fillId="9" borderId="76" xfId="0" applyFill="1" applyBorder="1"/>
    <xf numFmtId="0" fontId="0" fillId="9" borderId="77" xfId="0" applyFill="1" applyBorder="1"/>
    <xf numFmtId="0" fontId="0" fillId="0" borderId="0" xfId="0" applyFont="1" applyFill="1" applyBorder="1"/>
    <xf numFmtId="167" fontId="0" fillId="4" borderId="29" xfId="0" applyNumberFormat="1" applyFill="1" applyBorder="1" applyAlignment="1">
      <alignment horizontal="left"/>
    </xf>
    <xf numFmtId="0" fontId="0" fillId="4" borderId="27" xfId="0" applyFill="1" applyBorder="1" applyAlignment="1">
      <alignment horizontal="center"/>
    </xf>
    <xf numFmtId="0" fontId="0" fillId="8" borderId="71" xfId="0" applyFill="1" applyBorder="1" applyAlignment="1">
      <alignment horizontal="right"/>
    </xf>
    <xf numFmtId="1" fontId="0" fillId="8" borderId="66" xfId="0" applyNumberFormat="1" applyFill="1" applyBorder="1" applyAlignment="1">
      <alignment horizontal="center"/>
    </xf>
    <xf numFmtId="0" fontId="0" fillId="8" borderId="80" xfId="0" applyFill="1" applyBorder="1" applyAlignment="1">
      <alignment horizontal="right"/>
    </xf>
    <xf numFmtId="0" fontId="0" fillId="8" borderId="67" xfId="0" applyFill="1" applyBorder="1" applyAlignment="1">
      <alignment horizontal="left"/>
    </xf>
    <xf numFmtId="0" fontId="0" fillId="8" borderId="66" xfId="0" applyFill="1" applyBorder="1"/>
    <xf numFmtId="167" fontId="0" fillId="8" borderId="67" xfId="0" applyNumberFormat="1" applyFill="1" applyBorder="1" applyAlignment="1">
      <alignment horizontal="left"/>
    </xf>
    <xf numFmtId="0" fontId="0" fillId="8" borderId="69" xfId="0" applyFill="1" applyBorder="1" applyAlignment="1">
      <alignment horizontal="right"/>
    </xf>
    <xf numFmtId="167" fontId="0" fillId="8" borderId="70" xfId="0" applyNumberFormat="1" applyFill="1" applyBorder="1" applyAlignment="1">
      <alignment horizontal="left"/>
    </xf>
    <xf numFmtId="164" fontId="0" fillId="8" borderId="70" xfId="0" applyNumberFormat="1" applyFill="1" applyBorder="1" applyAlignment="1">
      <alignment horizontal="left"/>
    </xf>
    <xf numFmtId="0" fontId="0" fillId="9" borderId="74" xfId="0" applyFill="1" applyBorder="1"/>
    <xf numFmtId="0" fontId="0" fillId="9" borderId="81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4" fillId="9" borderId="78" xfId="0" applyFont="1" applyFill="1" applyBorder="1" applyAlignment="1">
      <alignment horizontal="center"/>
    </xf>
    <xf numFmtId="0" fontId="4" fillId="9" borderId="82" xfId="0" applyFont="1" applyFill="1" applyBorder="1" applyAlignment="1">
      <alignment horizontal="right"/>
    </xf>
    <xf numFmtId="0" fontId="0" fillId="8" borderId="83" xfId="0" applyFill="1" applyBorder="1" applyAlignment="1">
      <alignment horizontal="right"/>
    </xf>
    <xf numFmtId="167" fontId="0" fillId="8" borderId="84" xfId="0" applyNumberFormat="1" applyFill="1" applyBorder="1" applyAlignment="1">
      <alignment horizontal="left"/>
    </xf>
    <xf numFmtId="0" fontId="0" fillId="9" borderId="78" xfId="0" applyFill="1" applyBorder="1" applyAlignment="1">
      <alignment horizontal="right"/>
    </xf>
    <xf numFmtId="167" fontId="0" fillId="9" borderId="79" xfId="0" applyNumberFormat="1" applyFill="1" applyBorder="1" applyAlignment="1">
      <alignment horizontal="left"/>
    </xf>
    <xf numFmtId="167" fontId="0" fillId="4" borderId="63" xfId="0" applyNumberFormat="1" applyFill="1" applyBorder="1" applyAlignment="1">
      <alignment horizontal="left"/>
    </xf>
    <xf numFmtId="167" fontId="0" fillId="9" borderId="77" xfId="0" applyNumberFormat="1" applyFill="1" applyBorder="1" applyAlignment="1">
      <alignment horizontal="left"/>
    </xf>
    <xf numFmtId="167" fontId="0" fillId="3" borderId="25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3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0" fillId="3" borderId="0" xfId="0" applyFill="1"/>
    <xf numFmtId="0" fontId="0" fillId="4" borderId="38" xfId="0" applyFill="1" applyBorder="1" applyAlignment="1">
      <alignment horizontal="right"/>
    </xf>
    <xf numFmtId="164" fontId="0" fillId="4" borderId="40" xfId="0" applyNumberFormat="1" applyFill="1" applyBorder="1" applyAlignment="1">
      <alignment horizontal="left"/>
    </xf>
    <xf numFmtId="0" fontId="0" fillId="9" borderId="72" xfId="0" applyFill="1" applyBorder="1" applyAlignment="1">
      <alignment horizontal="right"/>
    </xf>
    <xf numFmtId="164" fontId="0" fillId="9" borderId="73" xfId="0" applyNumberFormat="1" applyFill="1" applyBorder="1" applyAlignment="1">
      <alignment horizontal="left"/>
    </xf>
    <xf numFmtId="0" fontId="0" fillId="8" borderId="65" xfId="0" applyFill="1" applyBorder="1" applyAlignment="1">
      <alignment horizontal="left"/>
    </xf>
    <xf numFmtId="0" fontId="0" fillId="8" borderId="83" xfId="0" applyFill="1" applyBorder="1"/>
    <xf numFmtId="0" fontId="0" fillId="8" borderId="0" xfId="0" applyFill="1" applyBorder="1" applyAlignment="1">
      <alignment horizontal="right"/>
    </xf>
    <xf numFmtId="168" fontId="0" fillId="8" borderId="84" xfId="0" applyNumberFormat="1" applyFill="1" applyBorder="1" applyAlignment="1">
      <alignment horizontal="left"/>
    </xf>
    <xf numFmtId="2" fontId="0" fillId="8" borderId="67" xfId="0" applyNumberFormat="1" applyFill="1" applyBorder="1" applyAlignment="1">
      <alignment horizontal="left"/>
    </xf>
    <xf numFmtId="165" fontId="0" fillId="9" borderId="0" xfId="0" applyNumberFormat="1" applyFill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7" fontId="0" fillId="3" borderId="28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0" fillId="2" borderId="27" xfId="0" applyFill="1" applyBorder="1" applyAlignment="1">
      <alignment horizontal="right"/>
    </xf>
    <xf numFmtId="165" fontId="0" fillId="8" borderId="70" xfId="0" applyNumberFormat="1" applyFill="1" applyBorder="1" applyAlignment="1">
      <alignment horizontal="center"/>
    </xf>
    <xf numFmtId="167" fontId="0" fillId="9" borderId="25" xfId="0" applyNumberFormat="1" applyFill="1" applyBorder="1" applyAlignment="1">
      <alignment horizontal="center"/>
    </xf>
    <xf numFmtId="167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26" xfId="0" applyFill="1" applyBorder="1" applyAlignment="1">
      <alignment horizontal="center"/>
    </xf>
    <xf numFmtId="167" fontId="0" fillId="9" borderId="28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0" fontId="0" fillId="3" borderId="29" xfId="0" applyFill="1" applyBorder="1"/>
    <xf numFmtId="164" fontId="0" fillId="8" borderId="71" xfId="0" applyNumberFormat="1" applyFill="1" applyBorder="1" applyAlignment="1">
      <alignment horizontal="right"/>
    </xf>
    <xf numFmtId="1" fontId="0" fillId="8" borderId="65" xfId="0" applyNumberFormat="1" applyFill="1" applyBorder="1" applyAlignment="1">
      <alignment horizontal="left"/>
    </xf>
    <xf numFmtId="164" fontId="0" fillId="8" borderId="0" xfId="0" applyNumberFormat="1" applyFill="1" applyBorder="1" applyAlignment="1">
      <alignment horizontal="right"/>
    </xf>
    <xf numFmtId="164" fontId="0" fillId="8" borderId="84" xfId="0" applyNumberFormat="1" applyFill="1" applyBorder="1" applyAlignment="1">
      <alignment horizontal="left"/>
    </xf>
    <xf numFmtId="0" fontId="0" fillId="9" borderId="85" xfId="0" applyFill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3" xfId="0" quotePrefix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1" xfId="0" quotePrefix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16" xfId="0" applyFill="1" applyBorder="1" applyAlignment="1">
      <alignment horizontal="right"/>
    </xf>
    <xf numFmtId="0" fontId="0" fillId="3" borderId="16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center"/>
    </xf>
    <xf numFmtId="168" fontId="4" fillId="3" borderId="16" xfId="0" applyNumberFormat="1" applyFont="1" applyFill="1" applyBorder="1" applyAlignment="1">
      <alignment horizontal="center"/>
    </xf>
    <xf numFmtId="168" fontId="4" fillId="3" borderId="18" xfId="0" applyNumberFormat="1" applyFont="1" applyFill="1" applyBorder="1" applyAlignment="1">
      <alignment horizontal="center"/>
    </xf>
    <xf numFmtId="167" fontId="0" fillId="3" borderId="17" xfId="0" applyNumberFormat="1" applyFill="1" applyBorder="1" applyAlignment="1">
      <alignment horizontal="left"/>
    </xf>
    <xf numFmtId="167" fontId="0" fillId="3" borderId="17" xfId="0" applyNumberFormat="1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0" fontId="0" fillId="4" borderId="23" xfId="0" applyFill="1" applyBorder="1"/>
    <xf numFmtId="166" fontId="0" fillId="0" borderId="0" xfId="0" applyNumberFormat="1" applyFill="1" applyBorder="1"/>
    <xf numFmtId="167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0" fillId="3" borderId="68" xfId="0" applyFill="1" applyBorder="1" applyAlignment="1">
      <alignment horizontal="right"/>
    </xf>
    <xf numFmtId="165" fontId="0" fillId="3" borderId="70" xfId="0" applyNumberFormat="1" applyFill="1" applyBorder="1" applyAlignment="1">
      <alignment horizontal="center"/>
    </xf>
    <xf numFmtId="0" fontId="0" fillId="3" borderId="27" xfId="0" applyFill="1" applyBorder="1" applyAlignment="1">
      <alignment horizontal="right"/>
    </xf>
    <xf numFmtId="165" fontId="0" fillId="3" borderId="29" xfId="0" applyNumberFormat="1" applyFill="1" applyBorder="1" applyAlignment="1">
      <alignment horizontal="center"/>
    </xf>
    <xf numFmtId="165" fontId="0" fillId="3" borderId="28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86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4" xfId="0" applyFill="1" applyBorder="1"/>
    <xf numFmtId="0" fontId="0" fillId="0" borderId="77" xfId="0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9242017824696"/>
          <c:y val="1.9743972815420219E-2"/>
          <c:w val="0.79394018055435367"/>
          <c:h val="0.82961742519894899"/>
        </c:manualLayout>
      </c:layout>
      <c:scatterChart>
        <c:scatterStyle val="lineMarker"/>
        <c:varyColors val="0"/>
        <c:ser>
          <c:idx val="3"/>
          <c:order val="0"/>
          <c:tx>
            <c:v>Equilibrium</c:v>
          </c:tx>
          <c:spPr>
            <a:ln w="2540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Equilibrium!$A$3:$A$28</c:f>
              <c:numCache>
                <c:formatCode>0.00000</c:formatCode>
                <c:ptCount val="26"/>
                <c:pt idx="0">
                  <c:v>2.5000000000000001E-2</c:v>
                </c:pt>
                <c:pt idx="1">
                  <c:v>2.4E-2</c:v>
                </c:pt>
                <c:pt idx="2">
                  <c:v>2.3E-2</c:v>
                </c:pt>
                <c:pt idx="3">
                  <c:v>2.1999999999999999E-2</c:v>
                </c:pt>
                <c:pt idx="4">
                  <c:v>2.1000000000000001E-2</c:v>
                </c:pt>
                <c:pt idx="5">
                  <c:v>0.02</c:v>
                </c:pt>
                <c:pt idx="6">
                  <c:v>1.9E-2</c:v>
                </c:pt>
                <c:pt idx="7">
                  <c:v>1.7999999999999999E-2</c:v>
                </c:pt>
                <c:pt idx="8">
                  <c:v>1.7000000000000001E-2</c:v>
                </c:pt>
                <c:pt idx="9">
                  <c:v>1.6E-2</c:v>
                </c:pt>
                <c:pt idx="10">
                  <c:v>1.4999999999999999E-2</c:v>
                </c:pt>
                <c:pt idx="11">
                  <c:v>1.4E-2</c:v>
                </c:pt>
                <c:pt idx="12">
                  <c:v>1.2999999999999999E-2</c:v>
                </c:pt>
                <c:pt idx="13">
                  <c:v>1.2E-2</c:v>
                </c:pt>
                <c:pt idx="14">
                  <c:v>1.0999999999999999E-2</c:v>
                </c:pt>
                <c:pt idx="15">
                  <c:v>0.01</c:v>
                </c:pt>
                <c:pt idx="16">
                  <c:v>8.9999999999999993E-3</c:v>
                </c:pt>
                <c:pt idx="17">
                  <c:v>8.0000000000000002E-3</c:v>
                </c:pt>
                <c:pt idx="18">
                  <c:v>7.0000000000000001E-3</c:v>
                </c:pt>
                <c:pt idx="19">
                  <c:v>6.0000000000000001E-3</c:v>
                </c:pt>
                <c:pt idx="20">
                  <c:v>5.0000000000000001E-3</c:v>
                </c:pt>
                <c:pt idx="21">
                  <c:v>4.0000000000000001E-3</c:v>
                </c:pt>
                <c:pt idx="22">
                  <c:v>3.0000000000000001E-3</c:v>
                </c:pt>
                <c:pt idx="23">
                  <c:v>2E-3</c:v>
                </c:pt>
                <c:pt idx="24">
                  <c:v>1E-3</c:v>
                </c:pt>
                <c:pt idx="25">
                  <c:v>0</c:v>
                </c:pt>
              </c:numCache>
            </c:numRef>
          </c:xVal>
          <c:yVal>
            <c:numRef>
              <c:f>Equilibrium!$B$3:$B$28</c:f>
              <c:numCache>
                <c:formatCode>0.00000</c:formatCode>
                <c:ptCount val="26"/>
                <c:pt idx="0">
                  <c:v>1.1678933829163256E-2</c:v>
                </c:pt>
                <c:pt idx="1">
                  <c:v>1.1295004006504827E-2</c:v>
                </c:pt>
                <c:pt idx="2">
                  <c:v>1.0905259468598334E-2</c:v>
                </c:pt>
                <c:pt idx="3">
                  <c:v>1.0509575071549093E-2</c:v>
                </c:pt>
                <c:pt idx="4">
                  <c:v>1.0107822339936319E-2</c:v>
                </c:pt>
                <c:pt idx="5">
                  <c:v>9.6998693622533712E-3</c:v>
                </c:pt>
                <c:pt idx="6">
                  <c:v>9.2855806825990813E-3</c:v>
                </c:pt>
                <c:pt idx="7">
                  <c:v>8.8648171884704672E-3</c:v>
                </c:pt>
                <c:pt idx="8">
                  <c:v>8.4374359945003884E-3</c:v>
                </c:pt>
                <c:pt idx="9">
                  <c:v>8.0032903219770281E-3</c:v>
                </c:pt>
                <c:pt idx="10">
                  <c:v>7.5622293739749796E-3</c:v>
                </c:pt>
                <c:pt idx="11">
                  <c:v>7.1140982059200017E-3</c:v>
                </c:pt>
                <c:pt idx="12">
                  <c:v>6.6587375914019236E-3</c:v>
                </c:pt>
                <c:pt idx="13">
                  <c:v>6.1959838830419126E-3</c:v>
                </c:pt>
                <c:pt idx="14">
                  <c:v>5.7256688682115952E-3</c:v>
                </c:pt>
                <c:pt idx="15">
                  <c:v>5.2476196193928107E-3</c:v>
                </c:pt>
                <c:pt idx="16">
                  <c:v>4.7616583389570935E-3</c:v>
                </c:pt>
                <c:pt idx="17">
                  <c:v>4.2676021981343567E-3</c:v>
                </c:pt>
                <c:pt idx="18">
                  <c:v>3.7652631699298224E-3</c:v>
                </c:pt>
                <c:pt idx="19">
                  <c:v>3.2544478557374628E-3</c:v>
                </c:pt>
                <c:pt idx="20">
                  <c:v>2.7349573053870239E-3</c:v>
                </c:pt>
                <c:pt idx="21">
                  <c:v>2.206586830350112E-3</c:v>
                </c:pt>
                <c:pt idx="22">
                  <c:v>1.6691258098154975E-3</c:v>
                </c:pt>
                <c:pt idx="23">
                  <c:v>1.1223574893405267E-3</c:v>
                </c:pt>
                <c:pt idx="24">
                  <c:v>5.6605877175588807E-4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FF-4E73-A0F4-B10E622A8209}"/>
            </c:ext>
          </c:extLst>
        </c:ser>
        <c:ser>
          <c:idx val="0"/>
          <c:order val="1"/>
          <c:tx>
            <c:v>Operating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'7-Stage'!$N$20:$N$21</c:f>
              <c:numCache>
                <c:formatCode>0.000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'7-Stage'!$O$20:$O$21</c:f>
              <c:numCache>
                <c:formatCode>0.0000</c:formatCode>
                <c:ptCount val="2"/>
                <c:pt idx="0">
                  <c:v>-4.3082774054216226E-4</c:v>
                </c:pt>
                <c:pt idx="1">
                  <c:v>1.0124413082649227E-2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FF-4E73-A0F4-B10E622A8209}"/>
            </c:ext>
          </c:extLst>
        </c:ser>
        <c:ser>
          <c:idx val="1"/>
          <c:order val="2"/>
          <c:tx>
            <c:v>Passing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'7-Stage'!$N$6:$N$13</c:f>
              <c:numCache>
                <c:formatCode>0.00000</c:formatCode>
                <c:ptCount val="8"/>
                <c:pt idx="0">
                  <c:v>2.0408163265306121E-2</c:v>
                </c:pt>
                <c:pt idx="1">
                  <c:v>1.6418229036237214E-2</c:v>
                </c:pt>
                <c:pt idx="2">
                  <c:v>1.2657542927252421E-2</c:v>
                </c:pt>
                <c:pt idx="3">
                  <c:v>9.3102934478737458E-3</c:v>
                </c:pt>
                <c:pt idx="4">
                  <c:v>6.4787398010781941E-3</c:v>
                </c:pt>
                <c:pt idx="5">
                  <c:v>4.1841387633132507E-3</c:v>
                </c:pt>
                <c:pt idx="6">
                  <c:v>2.3882412282740378E-3</c:v>
                </c:pt>
                <c:pt idx="7">
                  <c:v>1.0204113139755369E-3</c:v>
                </c:pt>
              </c:numCache>
            </c:numRef>
          </c:xVal>
          <c:yVal>
            <c:numRef>
              <c:f>'7-Stage'!$O$6:$O$13</c:f>
              <c:numCache>
                <c:formatCode>0.00000</c:formatCode>
                <c:ptCount val="8"/>
                <c:pt idx="0">
                  <c:v>8.1856953804303988E-3</c:v>
                </c:pt>
                <c:pt idx="1">
                  <c:v>6.5011056221001865E-3</c:v>
                </c:pt>
                <c:pt idx="2">
                  <c:v>4.9133071956075766E-3</c:v>
                </c:pt>
                <c:pt idx="3">
                  <c:v>3.5000661907991443E-3</c:v>
                </c:pt>
                <c:pt idx="4">
                  <c:v>2.3045572766553914E-3</c:v>
                </c:pt>
                <c:pt idx="5">
                  <c:v>1.3357551108890808E-3</c:v>
                </c:pt>
                <c:pt idx="6">
                  <c:v>5.7751042847600342E-4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FF-4E73-A0F4-B10E622A8209}"/>
            </c:ext>
          </c:extLst>
        </c:ser>
        <c:ser>
          <c:idx val="2"/>
          <c:order val="3"/>
          <c:tx>
            <c:v>Leaving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'7-Stage'!$P$6:$P$13</c:f>
              <c:numCache>
                <c:formatCode>0.00000</c:formatCode>
                <c:ptCount val="8"/>
                <c:pt idx="0">
                  <c:v>1.6418229036237214E-2</c:v>
                </c:pt>
                <c:pt idx="1">
                  <c:v>1.2657542927252421E-2</c:v>
                </c:pt>
                <c:pt idx="2">
                  <c:v>9.3102934478737458E-3</c:v>
                </c:pt>
                <c:pt idx="3">
                  <c:v>6.4787398010781941E-3</c:v>
                </c:pt>
                <c:pt idx="4">
                  <c:v>4.1841387633132507E-3</c:v>
                </c:pt>
                <c:pt idx="5">
                  <c:v>2.3882412282740378E-3</c:v>
                </c:pt>
                <c:pt idx="6">
                  <c:v>1.0204113139755369E-3</c:v>
                </c:pt>
                <c:pt idx="7">
                  <c:v>0</c:v>
                </c:pt>
              </c:numCache>
            </c:numRef>
          </c:xVal>
          <c:yVal>
            <c:numRef>
              <c:f>'7-Stage'!$Q$6:$Q$13</c:f>
              <c:numCache>
                <c:formatCode>0.00000</c:formatCode>
                <c:ptCount val="8"/>
                <c:pt idx="0">
                  <c:v>8.1856953804303988E-3</c:v>
                </c:pt>
                <c:pt idx="1">
                  <c:v>6.5011056221001865E-3</c:v>
                </c:pt>
                <c:pt idx="2">
                  <c:v>4.9133071956075766E-3</c:v>
                </c:pt>
                <c:pt idx="3">
                  <c:v>3.5000661907991443E-3</c:v>
                </c:pt>
                <c:pt idx="4">
                  <c:v>2.3045572766553914E-3</c:v>
                </c:pt>
                <c:pt idx="5">
                  <c:v>1.3357551108890808E-3</c:v>
                </c:pt>
                <c:pt idx="6">
                  <c:v>5.7751042847600342E-4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FF-4E73-A0F4-B10E622A8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80416"/>
        <c:axId val="371458672"/>
      </c:scatterChart>
      <c:valAx>
        <c:axId val="372480416"/>
        <c:scaling>
          <c:orientation val="minMax"/>
          <c:max val="3.0000000000000006E-2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 E/mol 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458672"/>
        <c:crosses val="autoZero"/>
        <c:crossBetween val="midCat"/>
      </c:valAx>
      <c:valAx>
        <c:axId val="371458672"/>
        <c:scaling>
          <c:orientation val="minMax"/>
          <c:max val="1.2000000000000002E-2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E/mol C)</a:t>
                </a:r>
              </a:p>
            </c:rich>
          </c:tx>
          <c:layout>
            <c:manualLayout>
              <c:xMode val="edge"/>
              <c:yMode val="edge"/>
              <c:x val="1.9099525068502626E-2"/>
              <c:y val="0.30970662862078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80416"/>
        <c:crosses val="autoZero"/>
        <c:crossBetween val="midCat"/>
      </c:valAx>
      <c:spPr>
        <a:noFill/>
        <a:ln w="285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0186680511089952"/>
          <c:y val="0.5477487769868471"/>
          <c:w val="0.16671823714343401"/>
          <c:h val="0.22447338155335725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9242017824696"/>
          <c:y val="1.9743972815420219E-2"/>
          <c:w val="0.79394018055435367"/>
          <c:h val="0.82961742519894899"/>
        </c:manualLayout>
      </c:layout>
      <c:scatterChart>
        <c:scatterStyle val="lineMarker"/>
        <c:varyColors val="0"/>
        <c:ser>
          <c:idx val="3"/>
          <c:order val="0"/>
          <c:tx>
            <c:v>Equilibrium</c:v>
          </c:tx>
          <c:spPr>
            <a:ln w="2540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Equilibrium!$A$3:$A$28</c:f>
              <c:numCache>
                <c:formatCode>0.00000</c:formatCode>
                <c:ptCount val="26"/>
                <c:pt idx="0">
                  <c:v>2.5000000000000001E-2</c:v>
                </c:pt>
                <c:pt idx="1">
                  <c:v>2.4E-2</c:v>
                </c:pt>
                <c:pt idx="2">
                  <c:v>2.3E-2</c:v>
                </c:pt>
                <c:pt idx="3">
                  <c:v>2.1999999999999999E-2</c:v>
                </c:pt>
                <c:pt idx="4">
                  <c:v>2.1000000000000001E-2</c:v>
                </c:pt>
                <c:pt idx="5">
                  <c:v>0.02</c:v>
                </c:pt>
                <c:pt idx="6">
                  <c:v>1.9E-2</c:v>
                </c:pt>
                <c:pt idx="7">
                  <c:v>1.7999999999999999E-2</c:v>
                </c:pt>
                <c:pt idx="8">
                  <c:v>1.7000000000000001E-2</c:v>
                </c:pt>
                <c:pt idx="9">
                  <c:v>1.6E-2</c:v>
                </c:pt>
                <c:pt idx="10">
                  <c:v>1.4999999999999999E-2</c:v>
                </c:pt>
                <c:pt idx="11">
                  <c:v>1.4E-2</c:v>
                </c:pt>
                <c:pt idx="12">
                  <c:v>1.2999999999999999E-2</c:v>
                </c:pt>
                <c:pt idx="13">
                  <c:v>1.2E-2</c:v>
                </c:pt>
                <c:pt idx="14">
                  <c:v>1.0999999999999999E-2</c:v>
                </c:pt>
                <c:pt idx="15">
                  <c:v>0.01</c:v>
                </c:pt>
                <c:pt idx="16">
                  <c:v>8.9999999999999993E-3</c:v>
                </c:pt>
                <c:pt idx="17">
                  <c:v>8.0000000000000002E-3</c:v>
                </c:pt>
                <c:pt idx="18">
                  <c:v>7.0000000000000001E-3</c:v>
                </c:pt>
                <c:pt idx="19">
                  <c:v>6.0000000000000001E-3</c:v>
                </c:pt>
                <c:pt idx="20">
                  <c:v>5.0000000000000001E-3</c:v>
                </c:pt>
                <c:pt idx="21">
                  <c:v>4.0000000000000001E-3</c:v>
                </c:pt>
                <c:pt idx="22">
                  <c:v>3.0000000000000001E-3</c:v>
                </c:pt>
                <c:pt idx="23">
                  <c:v>2E-3</c:v>
                </c:pt>
                <c:pt idx="24">
                  <c:v>1E-3</c:v>
                </c:pt>
                <c:pt idx="25">
                  <c:v>0</c:v>
                </c:pt>
              </c:numCache>
            </c:numRef>
          </c:xVal>
          <c:yVal>
            <c:numRef>
              <c:f>Equilibrium!$B$3:$B$28</c:f>
              <c:numCache>
                <c:formatCode>0.00000</c:formatCode>
                <c:ptCount val="26"/>
                <c:pt idx="0">
                  <c:v>1.1678933829163256E-2</c:v>
                </c:pt>
                <c:pt idx="1">
                  <c:v>1.1295004006504827E-2</c:v>
                </c:pt>
                <c:pt idx="2">
                  <c:v>1.0905259468598334E-2</c:v>
                </c:pt>
                <c:pt idx="3">
                  <c:v>1.0509575071549093E-2</c:v>
                </c:pt>
                <c:pt idx="4">
                  <c:v>1.0107822339936319E-2</c:v>
                </c:pt>
                <c:pt idx="5">
                  <c:v>9.6998693622533712E-3</c:v>
                </c:pt>
                <c:pt idx="6">
                  <c:v>9.2855806825990813E-3</c:v>
                </c:pt>
                <c:pt idx="7">
                  <c:v>8.8648171884704672E-3</c:v>
                </c:pt>
                <c:pt idx="8">
                  <c:v>8.4374359945003884E-3</c:v>
                </c:pt>
                <c:pt idx="9">
                  <c:v>8.0032903219770281E-3</c:v>
                </c:pt>
                <c:pt idx="10">
                  <c:v>7.5622293739749796E-3</c:v>
                </c:pt>
                <c:pt idx="11">
                  <c:v>7.1140982059200017E-3</c:v>
                </c:pt>
                <c:pt idx="12">
                  <c:v>6.6587375914019236E-3</c:v>
                </c:pt>
                <c:pt idx="13">
                  <c:v>6.1959838830419126E-3</c:v>
                </c:pt>
                <c:pt idx="14">
                  <c:v>5.7256688682115952E-3</c:v>
                </c:pt>
                <c:pt idx="15">
                  <c:v>5.2476196193928107E-3</c:v>
                </c:pt>
                <c:pt idx="16">
                  <c:v>4.7616583389570935E-3</c:v>
                </c:pt>
                <c:pt idx="17">
                  <c:v>4.2676021981343567E-3</c:v>
                </c:pt>
                <c:pt idx="18">
                  <c:v>3.7652631699298224E-3</c:v>
                </c:pt>
                <c:pt idx="19">
                  <c:v>3.2544478557374628E-3</c:v>
                </c:pt>
                <c:pt idx="20">
                  <c:v>2.7349573053870239E-3</c:v>
                </c:pt>
                <c:pt idx="21">
                  <c:v>2.206586830350112E-3</c:v>
                </c:pt>
                <c:pt idx="22">
                  <c:v>1.6691258098154975E-3</c:v>
                </c:pt>
                <c:pt idx="23">
                  <c:v>1.1223574893405267E-3</c:v>
                </c:pt>
                <c:pt idx="24">
                  <c:v>5.6605877175588807E-4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D3-4502-8BFD-6CD378FC5413}"/>
            </c:ext>
          </c:extLst>
        </c:ser>
        <c:ser>
          <c:idx val="0"/>
          <c:order val="1"/>
          <c:tx>
            <c:v>Operating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'7-Stage'!$N$20:$N$21</c:f>
              <c:numCache>
                <c:formatCode>0.000</c:formatCode>
                <c:ptCount val="2"/>
                <c:pt idx="0">
                  <c:v>0</c:v>
                </c:pt>
                <c:pt idx="1">
                  <c:v>2.5000000000000001E-2</c:v>
                </c:pt>
              </c:numCache>
            </c:numRef>
          </c:xVal>
          <c:yVal>
            <c:numRef>
              <c:f>'7-Stage'!$O$20:$O$21</c:f>
              <c:numCache>
                <c:formatCode>0.0000</c:formatCode>
                <c:ptCount val="2"/>
                <c:pt idx="0">
                  <c:v>-4.3082774054216226E-4</c:v>
                </c:pt>
                <c:pt idx="1">
                  <c:v>1.0124413082649227E-2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D3-4502-8BFD-6CD378FC5413}"/>
            </c:ext>
          </c:extLst>
        </c:ser>
        <c:ser>
          <c:idx val="1"/>
          <c:order val="2"/>
          <c:tx>
            <c:v>Passing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'7-Stage'!$N$6:$N$13</c:f>
              <c:numCache>
                <c:formatCode>0.00000</c:formatCode>
                <c:ptCount val="8"/>
                <c:pt idx="0">
                  <c:v>2.0408163265306121E-2</c:v>
                </c:pt>
                <c:pt idx="1">
                  <c:v>1.6418229036237214E-2</c:v>
                </c:pt>
                <c:pt idx="2">
                  <c:v>1.2657542927252421E-2</c:v>
                </c:pt>
                <c:pt idx="3">
                  <c:v>9.3102934478737458E-3</c:v>
                </c:pt>
                <c:pt idx="4">
                  <c:v>6.4787398010781941E-3</c:v>
                </c:pt>
                <c:pt idx="5">
                  <c:v>4.1841387633132507E-3</c:v>
                </c:pt>
                <c:pt idx="6">
                  <c:v>2.3882412282740378E-3</c:v>
                </c:pt>
                <c:pt idx="7">
                  <c:v>1.0204113139755369E-3</c:v>
                </c:pt>
              </c:numCache>
            </c:numRef>
          </c:xVal>
          <c:yVal>
            <c:numRef>
              <c:f>'7-Stage'!$O$6:$O$13</c:f>
              <c:numCache>
                <c:formatCode>0.00000</c:formatCode>
                <c:ptCount val="8"/>
                <c:pt idx="0">
                  <c:v>8.1856953804303988E-3</c:v>
                </c:pt>
                <c:pt idx="1">
                  <c:v>6.5011056221001865E-3</c:v>
                </c:pt>
                <c:pt idx="2">
                  <c:v>4.9133071956075766E-3</c:v>
                </c:pt>
                <c:pt idx="3">
                  <c:v>3.5000661907991443E-3</c:v>
                </c:pt>
                <c:pt idx="4">
                  <c:v>2.3045572766553914E-3</c:v>
                </c:pt>
                <c:pt idx="5">
                  <c:v>1.3357551108890808E-3</c:v>
                </c:pt>
                <c:pt idx="6">
                  <c:v>5.7751042847600342E-4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D3-4502-8BFD-6CD378FC5413}"/>
            </c:ext>
          </c:extLst>
        </c:ser>
        <c:ser>
          <c:idx val="2"/>
          <c:order val="3"/>
          <c:tx>
            <c:v>Leaving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'7-Stage'!$P$6:$P$13</c:f>
              <c:numCache>
                <c:formatCode>0.00000</c:formatCode>
                <c:ptCount val="8"/>
                <c:pt idx="0">
                  <c:v>1.6418229036237214E-2</c:v>
                </c:pt>
                <c:pt idx="1">
                  <c:v>1.2657542927252421E-2</c:v>
                </c:pt>
                <c:pt idx="2">
                  <c:v>9.3102934478737458E-3</c:v>
                </c:pt>
                <c:pt idx="3">
                  <c:v>6.4787398010781941E-3</c:v>
                </c:pt>
                <c:pt idx="4">
                  <c:v>4.1841387633132507E-3</c:v>
                </c:pt>
                <c:pt idx="5">
                  <c:v>2.3882412282740378E-3</c:v>
                </c:pt>
                <c:pt idx="6">
                  <c:v>1.0204113139755369E-3</c:v>
                </c:pt>
                <c:pt idx="7">
                  <c:v>0</c:v>
                </c:pt>
              </c:numCache>
            </c:numRef>
          </c:xVal>
          <c:yVal>
            <c:numRef>
              <c:f>'7-Stage'!$Q$6:$Q$13</c:f>
              <c:numCache>
                <c:formatCode>0.00000</c:formatCode>
                <c:ptCount val="8"/>
                <c:pt idx="0">
                  <c:v>8.1856953804303988E-3</c:v>
                </c:pt>
                <c:pt idx="1">
                  <c:v>6.5011056221001865E-3</c:v>
                </c:pt>
                <c:pt idx="2">
                  <c:v>4.9133071956075766E-3</c:v>
                </c:pt>
                <c:pt idx="3">
                  <c:v>3.5000661907991443E-3</c:v>
                </c:pt>
                <c:pt idx="4">
                  <c:v>2.3045572766553914E-3</c:v>
                </c:pt>
                <c:pt idx="5">
                  <c:v>1.3357551108890808E-3</c:v>
                </c:pt>
                <c:pt idx="6">
                  <c:v>5.7751042847600342E-4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D3-4502-8BFD-6CD378FC5413}"/>
            </c:ext>
          </c:extLst>
        </c:ser>
        <c:ser>
          <c:idx val="4"/>
          <c:order val="4"/>
          <c:tx>
            <c:v>Stairs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'7-Stage'!$R$6:$R$20</c:f>
              <c:numCache>
                <c:formatCode>0.00000</c:formatCode>
                <c:ptCount val="15"/>
                <c:pt idx="0">
                  <c:v>2.0408163265306121E-2</c:v>
                </c:pt>
                <c:pt idx="1">
                  <c:v>1.6418229036237214E-2</c:v>
                </c:pt>
                <c:pt idx="2">
                  <c:v>1.6418229036237214E-2</c:v>
                </c:pt>
                <c:pt idx="3">
                  <c:v>1.2657542927252421E-2</c:v>
                </c:pt>
                <c:pt idx="4">
                  <c:v>1.2657542927252421E-2</c:v>
                </c:pt>
                <c:pt idx="5">
                  <c:v>9.3102934478737458E-3</c:v>
                </c:pt>
                <c:pt idx="6">
                  <c:v>9.3102934478737458E-3</c:v>
                </c:pt>
                <c:pt idx="7">
                  <c:v>6.4787398010781941E-3</c:v>
                </c:pt>
                <c:pt idx="8">
                  <c:v>6.4787398010781941E-3</c:v>
                </c:pt>
                <c:pt idx="9">
                  <c:v>4.1841387633132507E-3</c:v>
                </c:pt>
                <c:pt idx="10">
                  <c:v>4.1841387633132507E-3</c:v>
                </c:pt>
                <c:pt idx="11">
                  <c:v>2.3882412282740378E-3</c:v>
                </c:pt>
                <c:pt idx="12">
                  <c:v>2.3882412282740378E-3</c:v>
                </c:pt>
                <c:pt idx="13">
                  <c:v>1.0204113139755369E-3</c:v>
                </c:pt>
                <c:pt idx="14">
                  <c:v>1.0204113139755369E-3</c:v>
                </c:pt>
              </c:numCache>
            </c:numRef>
          </c:xVal>
          <c:yVal>
            <c:numRef>
              <c:f>'7-Stage'!$S$6:$S$20</c:f>
              <c:numCache>
                <c:formatCode>0.00000</c:formatCode>
                <c:ptCount val="15"/>
                <c:pt idx="0">
                  <c:v>8.1856953804303988E-3</c:v>
                </c:pt>
                <c:pt idx="1">
                  <c:v>8.1856953804303988E-3</c:v>
                </c:pt>
                <c:pt idx="2">
                  <c:v>6.5011056221001865E-3</c:v>
                </c:pt>
                <c:pt idx="3">
                  <c:v>6.5011056221001865E-3</c:v>
                </c:pt>
                <c:pt idx="4">
                  <c:v>4.9133071956075766E-3</c:v>
                </c:pt>
                <c:pt idx="5">
                  <c:v>4.9133071956075766E-3</c:v>
                </c:pt>
                <c:pt idx="6">
                  <c:v>3.5000661907991443E-3</c:v>
                </c:pt>
                <c:pt idx="7">
                  <c:v>3.5000661907991443E-3</c:v>
                </c:pt>
                <c:pt idx="8">
                  <c:v>2.3045572766553914E-3</c:v>
                </c:pt>
                <c:pt idx="9">
                  <c:v>2.3045572766553914E-3</c:v>
                </c:pt>
                <c:pt idx="10">
                  <c:v>1.3357551108890808E-3</c:v>
                </c:pt>
                <c:pt idx="11">
                  <c:v>1.3357551108890808E-3</c:v>
                </c:pt>
                <c:pt idx="12">
                  <c:v>5.7751042847600342E-4</c:v>
                </c:pt>
                <c:pt idx="13">
                  <c:v>5.7751042847600342E-4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D3-4502-8BFD-6CD378FC5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80416"/>
        <c:axId val="371458672"/>
      </c:scatterChart>
      <c:valAx>
        <c:axId val="372480416"/>
        <c:scaling>
          <c:orientation val="minMax"/>
          <c:max val="3.0000000000000006E-2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 E/mol 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458672"/>
        <c:crosses val="autoZero"/>
        <c:crossBetween val="midCat"/>
      </c:valAx>
      <c:valAx>
        <c:axId val="371458672"/>
        <c:scaling>
          <c:orientation val="minMax"/>
          <c:max val="1.2000000000000002E-2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E/mol C)</a:t>
                </a:r>
              </a:p>
            </c:rich>
          </c:tx>
          <c:layout>
            <c:manualLayout>
              <c:xMode val="edge"/>
              <c:yMode val="edge"/>
              <c:x val="1.9099525068502626E-2"/>
              <c:y val="0.30970662862078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80416"/>
        <c:crosses val="autoZero"/>
        <c:crossBetween val="midCat"/>
      </c:valAx>
      <c:spPr>
        <a:noFill/>
        <a:ln w="285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0186680511089952"/>
          <c:y val="0.5477487769868471"/>
          <c:w val="0.16671823714343401"/>
          <c:h val="0.28059172694169654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7FB438-9A63-4936-B921-DDB5578710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EB01DB-FA4F-48ED-9CBB-FE9E512E3E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tabSelected="1" zoomScale="120" zoomScaleNormal="120" workbookViewId="0">
      <selection activeCell="E5" sqref="E5"/>
    </sheetView>
  </sheetViews>
  <sheetFormatPr defaultRowHeight="15"/>
  <cols>
    <col min="3" max="3" width="3" customWidth="1"/>
    <col min="7" max="9" width="2.7109375" customWidth="1"/>
  </cols>
  <sheetData>
    <row r="1" spans="1:18" ht="19.5" thickTop="1" thickBot="1">
      <c r="A1" t="s">
        <v>58</v>
      </c>
      <c r="D1" s="142" t="s">
        <v>65</v>
      </c>
      <c r="E1" s="143">
        <v>100</v>
      </c>
      <c r="K1" s="125" t="s">
        <v>69</v>
      </c>
      <c r="L1" s="57">
        <v>3291.895103299657</v>
      </c>
      <c r="N1" s="64" t="s">
        <v>37</v>
      </c>
      <c r="O1" s="65"/>
      <c r="P1" s="65"/>
      <c r="Q1" s="66"/>
      <c r="R1" s="67" t="s">
        <v>38</v>
      </c>
    </row>
    <row r="2" spans="1:18" ht="19.5" thickTop="1" thickBot="1">
      <c r="A2" s="47" t="s">
        <v>59</v>
      </c>
      <c r="B2" s="140"/>
      <c r="C2" s="10"/>
      <c r="D2" s="144" t="s">
        <v>66</v>
      </c>
      <c r="E2" s="145">
        <v>0.02</v>
      </c>
      <c r="F2" s="7"/>
      <c r="G2" s="100"/>
      <c r="I2" s="101"/>
      <c r="J2" s="9"/>
      <c r="K2" s="51" t="s">
        <v>70</v>
      </c>
      <c r="L2" s="151">
        <v>5.7717525096189241E-4</v>
      </c>
      <c r="N2" s="68"/>
      <c r="O2" s="69" t="s">
        <v>39</v>
      </c>
      <c r="P2" s="69" t="s">
        <v>40</v>
      </c>
      <c r="Q2" s="70" t="s">
        <v>41</v>
      </c>
      <c r="R2" s="71" t="s">
        <v>42</v>
      </c>
    </row>
    <row r="3" spans="1:18" ht="16.5" thickTop="1" thickBot="1">
      <c r="A3" s="124" t="s">
        <v>5</v>
      </c>
      <c r="B3" s="107">
        <f>+E1*E2+E8*E9-L1*L2-L8*L9</f>
        <v>-3.8238720433125817E-7</v>
      </c>
      <c r="C3" s="18"/>
      <c r="D3" s="11"/>
      <c r="E3" s="12"/>
      <c r="G3" s="19"/>
      <c r="H3" s="20"/>
      <c r="I3" s="21"/>
      <c r="J3" s="4"/>
      <c r="N3" s="68" t="s">
        <v>43</v>
      </c>
      <c r="O3" s="72">
        <v>8.1121999999999996</v>
      </c>
      <c r="P3" s="72">
        <v>1592.864</v>
      </c>
      <c r="Q3" s="73">
        <v>226.184</v>
      </c>
      <c r="R3" s="74">
        <v>0.20022000000000001</v>
      </c>
    </row>
    <row r="4" spans="1:18" ht="16.5" thickTop="1" thickBot="1">
      <c r="A4" s="124" t="s">
        <v>50</v>
      </c>
      <c r="B4" s="107">
        <f>+E8*(1-E9)-L1*(1-L2)</f>
        <v>3.8238704291870818E-7</v>
      </c>
      <c r="C4" s="18"/>
      <c r="D4" s="52" t="s">
        <v>71</v>
      </c>
      <c r="E4" s="58">
        <v>95</v>
      </c>
      <c r="G4" s="22"/>
      <c r="H4" s="23" t="s">
        <v>57</v>
      </c>
      <c r="I4" s="24"/>
      <c r="J4" s="4"/>
      <c r="N4" s="75" t="s">
        <v>44</v>
      </c>
      <c r="O4" s="76">
        <v>7.9668099999999997</v>
      </c>
      <c r="P4" s="76">
        <v>1668.21</v>
      </c>
      <c r="Q4" s="77">
        <v>228</v>
      </c>
      <c r="R4" s="78">
        <v>0.81564000000000003</v>
      </c>
    </row>
    <row r="5" spans="1:18" ht="15.75" thickTop="1">
      <c r="A5" s="124" t="s">
        <v>0</v>
      </c>
      <c r="B5" s="107">
        <f>+E1*(1-E2)-L8*(1-L9)</f>
        <v>0</v>
      </c>
      <c r="C5" s="18"/>
      <c r="G5" s="22"/>
      <c r="H5" s="23" t="s">
        <v>82</v>
      </c>
      <c r="I5" s="24"/>
      <c r="J5" s="4"/>
      <c r="K5" s="142" t="s">
        <v>72</v>
      </c>
      <c r="L5" s="143">
        <v>30</v>
      </c>
      <c r="N5" s="105"/>
      <c r="O5" s="105"/>
    </row>
    <row r="6" spans="1:18" ht="15.75" thickBot="1">
      <c r="A6" s="141" t="s">
        <v>60</v>
      </c>
      <c r="B6" s="107">
        <f>+E4*E1*E2/100-L1*L2</f>
        <v>-3.8238720434513596E-7</v>
      </c>
      <c r="C6" s="18"/>
      <c r="G6" s="22"/>
      <c r="H6" s="23" t="s">
        <v>83</v>
      </c>
      <c r="I6" s="24"/>
      <c r="J6" s="4"/>
      <c r="K6" s="144" t="s">
        <v>73</v>
      </c>
      <c r="L6" s="152">
        <v>825</v>
      </c>
      <c r="N6" s="105"/>
      <c r="O6" s="105"/>
    </row>
    <row r="7" spans="1:18" ht="16.5" thickTop="1" thickBot="1">
      <c r="A7" s="102" t="s">
        <v>6</v>
      </c>
      <c r="B7" s="48">
        <f>+L2-L14*L9</f>
        <v>0</v>
      </c>
      <c r="G7" s="25"/>
      <c r="H7" s="26"/>
      <c r="I7" s="27"/>
      <c r="J7" s="4"/>
    </row>
    <row r="8" spans="1:18" ht="19.5" thickTop="1" thickBot="1">
      <c r="D8" s="126" t="s">
        <v>67</v>
      </c>
      <c r="E8" s="127">
        <v>3289.9951032996569</v>
      </c>
      <c r="F8" s="103"/>
      <c r="G8" s="99"/>
      <c r="H8" s="10"/>
      <c r="I8" s="8"/>
      <c r="J8" s="5"/>
      <c r="K8" s="125" t="s">
        <v>65</v>
      </c>
      <c r="L8" s="57">
        <v>98.100000000000023</v>
      </c>
    </row>
    <row r="9" spans="1:18" ht="19.5" thickTop="1" thickBot="1">
      <c r="D9" s="144" t="s">
        <v>68</v>
      </c>
      <c r="E9" s="145">
        <v>0</v>
      </c>
      <c r="G9" s="13"/>
      <c r="H9" s="10"/>
      <c r="K9" s="51" t="s">
        <v>74</v>
      </c>
      <c r="L9" s="151">
        <v>1.0193679918450566E-3</v>
      </c>
    </row>
    <row r="10" spans="1:18" ht="16.5" thickTop="1" thickBot="1">
      <c r="G10" s="10"/>
      <c r="H10" s="10"/>
    </row>
    <row r="11" spans="1:18" ht="19.5" thickTop="1" thickBot="1">
      <c r="A11" s="146" t="s">
        <v>92</v>
      </c>
      <c r="B11" s="147"/>
      <c r="C11" s="10"/>
      <c r="D11" s="10"/>
      <c r="G11" s="10"/>
      <c r="H11" s="10"/>
      <c r="K11" s="153" t="s">
        <v>75</v>
      </c>
      <c r="L11" s="154">
        <f>10^(O3-P3/(L5+Q3))</f>
        <v>78.441147868964691</v>
      </c>
    </row>
    <row r="12" spans="1:18" ht="16.5" thickTop="1" thickBot="1">
      <c r="A12" s="160" t="s">
        <v>16</v>
      </c>
      <c r="B12" s="161"/>
      <c r="C12" s="10"/>
      <c r="D12" s="10"/>
      <c r="F12" s="4"/>
      <c r="G12" s="13"/>
      <c r="H12" s="13"/>
      <c r="K12" s="155" t="s">
        <v>46</v>
      </c>
      <c r="L12" s="156">
        <f>+R3/(L9+(1-L9)*R3)-R4/((1-L9)+L9*R4)</f>
        <v>0.18015132870172113</v>
      </c>
      <c r="N12" s="105"/>
      <c r="O12" s="105"/>
    </row>
    <row r="13" spans="1:18" ht="19.5" thickTop="1" thickBot="1">
      <c r="A13" s="49" t="s">
        <v>93</v>
      </c>
      <c r="B13" s="50"/>
      <c r="D13" s="13"/>
      <c r="E13" s="16"/>
      <c r="F13" s="4"/>
      <c r="K13" s="155" t="s">
        <v>47</v>
      </c>
      <c r="L13" s="157">
        <f>+EXP(-LN(L9+R3*(1-L9))+(1-L9)*L12)</f>
        <v>5.9550678779593795</v>
      </c>
    </row>
    <row r="14" spans="1:18" ht="16.5" thickTop="1" thickBot="1">
      <c r="A14" s="61" t="s">
        <v>94</v>
      </c>
      <c r="B14" s="62"/>
      <c r="K14" s="158" t="s">
        <v>4</v>
      </c>
      <c r="L14" s="159">
        <f>+L13*L11/L6</f>
        <v>0.56620892119361632</v>
      </c>
    </row>
    <row r="15" spans="1:18" ht="16.5" thickTop="1" thickBot="1"/>
    <row r="16" spans="1:18" ht="15.75" thickTop="1">
      <c r="A16" s="118" t="s">
        <v>95</v>
      </c>
      <c r="B16" s="119"/>
      <c r="C16" s="119" t="s">
        <v>62</v>
      </c>
      <c r="D16" s="120"/>
      <c r="F16" s="136" t="s">
        <v>84</v>
      </c>
      <c r="G16" s="129"/>
      <c r="H16" s="129"/>
      <c r="I16" s="129"/>
      <c r="J16" s="129"/>
      <c r="K16" s="129"/>
      <c r="L16" s="129"/>
      <c r="M16" s="129"/>
      <c r="N16" s="130"/>
    </row>
    <row r="17" spans="1:14" ht="19.5" thickBot="1">
      <c r="A17" s="121" t="s">
        <v>63</v>
      </c>
      <c r="B17" s="122"/>
      <c r="C17" s="122" t="s">
        <v>64</v>
      </c>
      <c r="D17" s="123"/>
      <c r="F17" s="131" t="s">
        <v>87</v>
      </c>
      <c r="G17" s="17"/>
      <c r="H17" s="17"/>
      <c r="I17" s="17"/>
      <c r="J17" s="17"/>
      <c r="K17" s="17"/>
      <c r="L17" s="17"/>
      <c r="M17" s="17"/>
      <c r="N17" s="132"/>
    </row>
    <row r="18" spans="1:14" ht="18.75" thickTop="1">
      <c r="F18" s="137" t="s">
        <v>88</v>
      </c>
      <c r="G18" s="17"/>
      <c r="H18" s="17"/>
      <c r="I18" s="17"/>
      <c r="J18" s="17"/>
      <c r="K18" s="17"/>
      <c r="L18" s="17"/>
      <c r="M18" s="17"/>
      <c r="N18" s="132"/>
    </row>
    <row r="19" spans="1:14">
      <c r="F19" s="137" t="s">
        <v>89</v>
      </c>
      <c r="G19" s="17"/>
      <c r="H19" s="17"/>
      <c r="I19" s="17"/>
      <c r="J19" s="17"/>
      <c r="K19" s="17"/>
      <c r="L19" s="17"/>
      <c r="M19" s="17"/>
      <c r="N19" s="132"/>
    </row>
    <row r="20" spans="1:14" ht="18">
      <c r="F20" s="139" t="s">
        <v>90</v>
      </c>
      <c r="G20" s="17"/>
      <c r="H20" s="17"/>
      <c r="I20" s="17"/>
      <c r="J20" s="17"/>
      <c r="K20" s="17"/>
      <c r="L20" s="17"/>
      <c r="M20" s="17"/>
      <c r="N20" s="132"/>
    </row>
    <row r="21" spans="1:14" ht="18">
      <c r="F21" s="137" t="s">
        <v>85</v>
      </c>
      <c r="G21" s="17"/>
      <c r="H21" s="17"/>
      <c r="I21" s="17"/>
      <c r="J21" s="17"/>
      <c r="K21" s="17"/>
      <c r="L21" s="17"/>
      <c r="M21" s="17"/>
      <c r="N21" s="132"/>
    </row>
    <row r="22" spans="1:14" ht="15.75" thickBot="1">
      <c r="F22" s="138" t="s">
        <v>86</v>
      </c>
      <c r="G22" s="134"/>
      <c r="H22" s="134"/>
      <c r="I22" s="134"/>
      <c r="J22" s="134"/>
      <c r="K22" s="134"/>
      <c r="L22" s="134"/>
      <c r="M22" s="134"/>
      <c r="N22" s="135"/>
    </row>
    <row r="23" spans="1:14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zoomScale="120" zoomScaleNormal="120" workbookViewId="0">
      <selection activeCell="R20" sqref="R20"/>
    </sheetView>
  </sheetViews>
  <sheetFormatPr defaultRowHeight="15"/>
  <cols>
    <col min="3" max="3" width="3" customWidth="1"/>
    <col min="7" max="9" width="2.7109375" customWidth="1"/>
  </cols>
  <sheetData>
    <row r="1" spans="1:18" ht="19.5" thickTop="1" thickBot="1">
      <c r="A1" t="s">
        <v>58</v>
      </c>
      <c r="D1" s="142" t="s">
        <v>65</v>
      </c>
      <c r="E1" s="143"/>
      <c r="K1" s="125" t="s">
        <v>69</v>
      </c>
      <c r="L1" s="57"/>
      <c r="N1" s="64" t="s">
        <v>37</v>
      </c>
      <c r="O1" s="65"/>
      <c r="P1" s="65"/>
      <c r="Q1" s="66"/>
      <c r="R1" s="67" t="s">
        <v>38</v>
      </c>
    </row>
    <row r="2" spans="1:18" ht="19.5" thickTop="1" thickBot="1">
      <c r="A2" s="47" t="s">
        <v>59</v>
      </c>
      <c r="B2" s="140"/>
      <c r="C2" s="10"/>
      <c r="D2" s="144" t="s">
        <v>66</v>
      </c>
      <c r="E2" s="145"/>
      <c r="F2" s="7"/>
      <c r="G2" s="100"/>
      <c r="I2" s="101"/>
      <c r="J2" s="9"/>
      <c r="K2" s="51" t="s">
        <v>70</v>
      </c>
      <c r="L2" s="151"/>
      <c r="N2" s="68"/>
      <c r="O2" s="69" t="s">
        <v>39</v>
      </c>
      <c r="P2" s="69" t="s">
        <v>40</v>
      </c>
      <c r="Q2" s="70" t="s">
        <v>41</v>
      </c>
      <c r="R2" s="71" t="s">
        <v>42</v>
      </c>
    </row>
    <row r="3" spans="1:18" ht="16.5" thickTop="1" thickBot="1">
      <c r="A3" s="124" t="s">
        <v>5</v>
      </c>
      <c r="B3" s="107"/>
      <c r="C3" s="18"/>
      <c r="D3" s="11"/>
      <c r="E3" s="12"/>
      <c r="G3" s="19"/>
      <c r="H3" s="20"/>
      <c r="I3" s="21"/>
      <c r="J3" s="4"/>
      <c r="N3" s="68" t="s">
        <v>43</v>
      </c>
      <c r="O3" s="72">
        <v>8.1121999999999996</v>
      </c>
      <c r="P3" s="72">
        <v>1592.864</v>
      </c>
      <c r="Q3" s="73">
        <v>226.184</v>
      </c>
      <c r="R3" s="74">
        <v>0.20022000000000001</v>
      </c>
    </row>
    <row r="4" spans="1:18" ht="16.5" thickTop="1" thickBot="1">
      <c r="A4" s="124" t="s">
        <v>50</v>
      </c>
      <c r="B4" s="107"/>
      <c r="C4" s="18"/>
      <c r="D4" s="52" t="s">
        <v>71</v>
      </c>
      <c r="E4" s="58"/>
      <c r="G4" s="22"/>
      <c r="H4" s="23" t="s">
        <v>57</v>
      </c>
      <c r="I4" s="24"/>
      <c r="J4" s="4"/>
      <c r="N4" s="75" t="s">
        <v>44</v>
      </c>
      <c r="O4" s="76">
        <v>7.9668099999999997</v>
      </c>
      <c r="P4" s="76">
        <v>1668.21</v>
      </c>
      <c r="Q4" s="77">
        <v>228</v>
      </c>
      <c r="R4" s="78">
        <v>0.81564000000000003</v>
      </c>
    </row>
    <row r="5" spans="1:18" ht="15.75" thickTop="1">
      <c r="A5" s="124" t="s">
        <v>0</v>
      </c>
      <c r="B5" s="107"/>
      <c r="C5" s="18"/>
      <c r="G5" s="22"/>
      <c r="H5" s="23" t="s">
        <v>82</v>
      </c>
      <c r="I5" s="24"/>
      <c r="J5" s="4"/>
      <c r="K5" s="142" t="s">
        <v>72</v>
      </c>
      <c r="L5" s="143"/>
      <c r="N5" s="105"/>
      <c r="O5" s="105"/>
    </row>
    <row r="6" spans="1:18" ht="15.75" thickBot="1">
      <c r="A6" s="141" t="s">
        <v>60</v>
      </c>
      <c r="B6" s="107"/>
      <c r="C6" s="18"/>
      <c r="G6" s="22"/>
      <c r="H6" s="23" t="s">
        <v>83</v>
      </c>
      <c r="I6" s="24"/>
      <c r="J6" s="4"/>
      <c r="K6" s="144" t="s">
        <v>73</v>
      </c>
      <c r="L6" s="152"/>
      <c r="N6" s="105"/>
      <c r="O6" s="105"/>
    </row>
    <row r="7" spans="1:18" ht="16.5" thickTop="1" thickBot="1">
      <c r="A7" s="102" t="s">
        <v>6</v>
      </c>
      <c r="B7" s="48"/>
      <c r="G7" s="25"/>
      <c r="H7" s="26"/>
      <c r="I7" s="27"/>
      <c r="J7" s="4"/>
    </row>
    <row r="8" spans="1:18" ht="19.5" thickTop="1" thickBot="1">
      <c r="D8" s="126" t="s">
        <v>67</v>
      </c>
      <c r="E8" s="127"/>
      <c r="F8" s="103"/>
      <c r="G8" s="99"/>
      <c r="H8" s="10"/>
      <c r="I8" s="8"/>
      <c r="J8" s="5"/>
      <c r="K8" s="125" t="s">
        <v>65</v>
      </c>
      <c r="L8" s="57"/>
    </row>
    <row r="9" spans="1:18" ht="19.5" thickTop="1" thickBot="1">
      <c r="D9" s="144" t="s">
        <v>68</v>
      </c>
      <c r="E9" s="145"/>
      <c r="G9" s="13"/>
      <c r="H9" s="10"/>
      <c r="K9" s="51" t="s">
        <v>74</v>
      </c>
      <c r="L9" s="151"/>
    </row>
    <row r="10" spans="1:18" ht="16.5" thickTop="1" thickBot="1">
      <c r="G10" s="10"/>
      <c r="H10" s="10"/>
    </row>
    <row r="11" spans="1:18" ht="19.5" thickTop="1" thickBot="1">
      <c r="A11" s="146" t="s">
        <v>92</v>
      </c>
      <c r="B11" s="147"/>
      <c r="C11" s="10"/>
      <c r="D11" s="10"/>
      <c r="G11" s="10"/>
      <c r="H11" s="10"/>
      <c r="K11" s="153" t="s">
        <v>75</v>
      </c>
      <c r="L11" s="154"/>
    </row>
    <row r="12" spans="1:18" ht="16.5" thickTop="1" thickBot="1">
      <c r="A12" s="160" t="s">
        <v>16</v>
      </c>
      <c r="B12" s="161"/>
      <c r="C12" s="10"/>
      <c r="D12" s="10"/>
      <c r="F12" s="4"/>
      <c r="G12" s="13"/>
      <c r="H12" s="13"/>
      <c r="K12" s="155" t="s">
        <v>46</v>
      </c>
      <c r="L12" s="156"/>
      <c r="N12" s="105"/>
      <c r="O12" s="105"/>
    </row>
    <row r="13" spans="1:18" ht="19.5" thickTop="1" thickBot="1">
      <c r="A13" s="49" t="s">
        <v>93</v>
      </c>
      <c r="B13" s="50"/>
      <c r="D13" s="13"/>
      <c r="E13" s="16"/>
      <c r="F13" s="4"/>
      <c r="K13" s="155" t="s">
        <v>47</v>
      </c>
      <c r="L13" s="157"/>
    </row>
    <row r="14" spans="1:18" ht="16.5" thickTop="1" thickBot="1">
      <c r="A14" s="61" t="s">
        <v>94</v>
      </c>
      <c r="B14" s="62"/>
      <c r="K14" s="158" t="s">
        <v>4</v>
      </c>
      <c r="L14" s="159"/>
    </row>
    <row r="15" spans="1:18" ht="16.5" thickTop="1" thickBot="1"/>
    <row r="16" spans="1:18" ht="15.75" thickTop="1">
      <c r="A16" s="118" t="s">
        <v>95</v>
      </c>
      <c r="B16" s="119"/>
      <c r="C16" s="119" t="s">
        <v>62</v>
      </c>
      <c r="D16" s="120"/>
      <c r="F16" s="162"/>
      <c r="G16" s="10"/>
      <c r="H16" s="10"/>
      <c r="I16" s="10"/>
      <c r="J16" s="10"/>
      <c r="K16" s="10"/>
      <c r="L16" s="10"/>
      <c r="M16" s="10"/>
      <c r="N16" s="10"/>
    </row>
    <row r="17" spans="1:14" ht="18" thickBot="1">
      <c r="A17" s="121" t="s">
        <v>63</v>
      </c>
      <c r="B17" s="122"/>
      <c r="C17" s="122" t="s">
        <v>64</v>
      </c>
      <c r="D17" s="123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thickTop="1">
      <c r="F18" s="162"/>
      <c r="G18" s="10"/>
      <c r="H18" s="10"/>
      <c r="I18" s="10"/>
      <c r="J18" s="10"/>
      <c r="K18" s="10"/>
      <c r="L18" s="10"/>
      <c r="M18" s="10"/>
      <c r="N18" s="10"/>
    </row>
    <row r="19" spans="1:14">
      <c r="F19" s="162"/>
      <c r="G19" s="10"/>
      <c r="H19" s="10"/>
      <c r="I19" s="10"/>
      <c r="J19" s="10"/>
      <c r="K19" s="10"/>
      <c r="L19" s="10"/>
      <c r="M19" s="10"/>
      <c r="N19" s="10"/>
    </row>
    <row r="20" spans="1:14">
      <c r="F20" s="63"/>
      <c r="G20" s="10"/>
      <c r="H20" s="10"/>
      <c r="I20" s="10"/>
      <c r="J20" s="10"/>
      <c r="K20" s="10"/>
      <c r="L20" s="10"/>
      <c r="M20" s="10"/>
      <c r="N20" s="10"/>
    </row>
    <row r="21" spans="1:14">
      <c r="F21" s="162"/>
      <c r="G21" s="10"/>
      <c r="H21" s="10"/>
      <c r="I21" s="10"/>
      <c r="J21" s="10"/>
      <c r="K21" s="10"/>
      <c r="L21" s="10"/>
      <c r="M21" s="10"/>
      <c r="N21" s="10"/>
    </row>
    <row r="22" spans="1:14">
      <c r="F22" s="162"/>
      <c r="G22" s="10"/>
      <c r="H22" s="10"/>
      <c r="I22" s="10"/>
      <c r="J22" s="10"/>
      <c r="K22" s="10"/>
      <c r="L22" s="10"/>
      <c r="M22" s="10"/>
      <c r="N22" s="10"/>
    </row>
    <row r="23" spans="1:14">
      <c r="F23" s="10"/>
      <c r="G23" s="10"/>
      <c r="H23" s="10"/>
      <c r="I23" s="10"/>
      <c r="J23" s="10"/>
      <c r="K23" s="10"/>
      <c r="L23" s="10"/>
      <c r="M23" s="10"/>
      <c r="N23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Normal="100" workbookViewId="0">
      <selection activeCell="R27" sqref="R27"/>
    </sheetView>
  </sheetViews>
  <sheetFormatPr defaultRowHeight="15"/>
  <cols>
    <col min="2" max="2" width="10.140625" customWidth="1"/>
    <col min="3" max="3" width="5.7109375" customWidth="1"/>
    <col min="4" max="4" width="1.85546875" customWidth="1"/>
    <col min="5" max="5" width="6" customWidth="1"/>
    <col min="7" max="7" width="9.5703125" style="28" bestFit="1" customWidth="1"/>
    <col min="8" max="12" width="2.7109375" customWidth="1"/>
    <col min="13" max="13" width="8.5703125" customWidth="1"/>
    <col min="15" max="15" width="9" customWidth="1"/>
  </cols>
  <sheetData>
    <row r="1" spans="1:19">
      <c r="A1" t="s">
        <v>96</v>
      </c>
    </row>
    <row r="2" spans="1:19" ht="15.75" thickBot="1">
      <c r="A2" s="10"/>
    </row>
    <row r="3" spans="1:19" ht="19.5" thickTop="1" thickBot="1">
      <c r="A3" s="150" t="s">
        <v>32</v>
      </c>
      <c r="B3" s="173">
        <v>95</v>
      </c>
      <c r="C3" s="63"/>
      <c r="E3" s="49"/>
      <c r="F3" s="79" t="s">
        <v>18</v>
      </c>
      <c r="G3" s="57">
        <v>688.14602508805774</v>
      </c>
      <c r="M3" s="148"/>
      <c r="N3" s="165" t="s">
        <v>49</v>
      </c>
      <c r="O3" s="143">
        <v>100</v>
      </c>
    </row>
    <row r="4" spans="1:19" ht="19.5" thickTop="1" thickBot="1">
      <c r="D4" s="10"/>
      <c r="E4" s="106"/>
      <c r="F4" s="116" t="s">
        <v>19</v>
      </c>
      <c r="G4" s="163">
        <v>2.7610422733988262E-3</v>
      </c>
      <c r="H4" s="9"/>
      <c r="I4" s="40"/>
      <c r="K4" s="41"/>
      <c r="L4" s="7"/>
      <c r="M4" s="169"/>
      <c r="N4" s="167" t="s">
        <v>31</v>
      </c>
      <c r="O4" s="170">
        <v>0.02</v>
      </c>
    </row>
    <row r="5" spans="1:19" ht="18.75" thickTop="1">
      <c r="A5" s="47" t="s">
        <v>25</v>
      </c>
      <c r="B5" s="140"/>
      <c r="D5" s="18"/>
      <c r="E5" s="10"/>
      <c r="I5" s="19"/>
      <c r="J5" s="20"/>
      <c r="K5" s="21"/>
      <c r="L5" s="4"/>
      <c r="M5" s="10"/>
      <c r="N5" s="11"/>
      <c r="O5" s="12"/>
      <c r="Q5" s="174"/>
      <c r="R5" s="175" t="s">
        <v>76</v>
      </c>
      <c r="S5" s="154">
        <f>10^(R22-S22/(G7+T22))</f>
        <v>78.441147868964691</v>
      </c>
    </row>
    <row r="6" spans="1:19" ht="15.75" thickBot="1">
      <c r="A6" s="124" t="s">
        <v>5</v>
      </c>
      <c r="B6" s="107">
        <f>+G11*G12+O3*O4-G3*G4-O11*O12</f>
        <v>-1.7632089022168174E-7</v>
      </c>
      <c r="D6" s="18"/>
      <c r="E6" s="2"/>
      <c r="I6" s="22"/>
      <c r="J6" s="17"/>
      <c r="K6" s="24"/>
      <c r="L6" s="4"/>
      <c r="M6" s="10"/>
      <c r="N6" s="11"/>
      <c r="O6" s="12"/>
      <c r="Q6" s="160"/>
      <c r="R6" s="176" t="s">
        <v>46</v>
      </c>
      <c r="S6" s="156">
        <f>U22/(O12+(1-O12)*U22)-U23/((1-O12)+O12*U23)</f>
        <v>0.16387081994546027</v>
      </c>
    </row>
    <row r="7" spans="1:19" ht="19.5" thickTop="1">
      <c r="A7" s="124" t="s">
        <v>50</v>
      </c>
      <c r="B7" s="107">
        <f>+G11*(1-G12)-G3*(1-G4)</f>
        <v>1.7645220395934302E-7</v>
      </c>
      <c r="E7" s="148"/>
      <c r="F7" s="165" t="s">
        <v>35</v>
      </c>
      <c r="G7" s="143">
        <v>30</v>
      </c>
      <c r="I7" s="22"/>
      <c r="J7" s="23">
        <v>1</v>
      </c>
      <c r="K7" s="24"/>
      <c r="L7" s="4"/>
      <c r="M7" s="10"/>
      <c r="N7" s="11"/>
      <c r="O7" s="12"/>
      <c r="Q7" s="160"/>
      <c r="R7" s="176" t="s">
        <v>47</v>
      </c>
      <c r="S7" s="156">
        <f>+EXP(-LN(O12+(1-O12)*U22)+(1-O12)*S6)</f>
        <v>5.762985109432659</v>
      </c>
    </row>
    <row r="8" spans="1:19" ht="15.75" thickBot="1">
      <c r="A8" s="124" t="s">
        <v>0</v>
      </c>
      <c r="B8" s="107">
        <f>+O3*(1-O4)-O11*(1-O12)</f>
        <v>-1.3058354397799121E-10</v>
      </c>
      <c r="D8" s="18"/>
      <c r="E8" s="166"/>
      <c r="F8" s="167" t="s">
        <v>34</v>
      </c>
      <c r="G8" s="168">
        <v>825</v>
      </c>
      <c r="I8" s="22"/>
      <c r="J8" s="23"/>
      <c r="K8" s="24"/>
      <c r="L8" s="4"/>
      <c r="M8" s="10"/>
      <c r="N8" s="11"/>
      <c r="O8" s="12"/>
      <c r="Q8" s="177"/>
      <c r="R8" s="178" t="s">
        <v>4</v>
      </c>
      <c r="S8" s="159">
        <f>+S7*S5/G8</f>
        <v>0.5479456571341198</v>
      </c>
    </row>
    <row r="9" spans="1:19" ht="16.5" thickTop="1" thickBot="1">
      <c r="A9" s="124" t="s">
        <v>6</v>
      </c>
      <c r="B9" s="107">
        <f>+G4-S8*O12</f>
        <v>-5.5876800582332908E-12</v>
      </c>
      <c r="D9" s="18"/>
      <c r="E9" s="80"/>
      <c r="F9" s="81"/>
      <c r="G9" s="82"/>
      <c r="I9" s="22"/>
      <c r="J9" s="23"/>
      <c r="K9" s="24"/>
      <c r="L9" s="4"/>
    </row>
    <row r="10" spans="1:19" ht="16.5" thickTop="1" thickBot="1">
      <c r="A10" s="102" t="s">
        <v>48</v>
      </c>
      <c r="B10" s="48">
        <f>+O3*O4*B3/100-G3*G4</f>
        <v>-2.6553949661334286E-7</v>
      </c>
      <c r="D10" s="18"/>
      <c r="E10" s="30"/>
      <c r="I10" s="38"/>
      <c r="J10" s="42"/>
      <c r="K10" s="38"/>
      <c r="L10" s="4"/>
    </row>
    <row r="11" spans="1:19" ht="18.75" thickTop="1">
      <c r="B11" s="45"/>
      <c r="D11" s="18"/>
      <c r="E11" s="49"/>
      <c r="F11" s="79" t="s">
        <v>21</v>
      </c>
      <c r="G11" s="57">
        <v>686.64233796270582</v>
      </c>
      <c r="I11" s="10"/>
      <c r="J11" s="43"/>
      <c r="K11" s="10"/>
      <c r="L11" s="4"/>
      <c r="M11" s="53"/>
      <c r="N11" s="79" t="s">
        <v>23</v>
      </c>
      <c r="O11" s="57">
        <v>98.496312874647302</v>
      </c>
    </row>
    <row r="12" spans="1:19" ht="18.75" thickBot="1">
      <c r="D12" s="18"/>
      <c r="E12" s="106"/>
      <c r="F12" s="116" t="s">
        <v>22</v>
      </c>
      <c r="G12" s="163">
        <v>5.7717525096281561E-4</v>
      </c>
      <c r="I12" s="10"/>
      <c r="J12" s="43"/>
      <c r="K12" s="10"/>
      <c r="L12" s="4"/>
      <c r="M12" s="164"/>
      <c r="N12" s="116" t="s">
        <v>24</v>
      </c>
      <c r="O12" s="163">
        <v>5.0388980057390802E-3</v>
      </c>
    </row>
    <row r="13" spans="1:19" ht="16.5" thickTop="1" thickBot="1">
      <c r="D13" s="18"/>
      <c r="E13" s="30"/>
      <c r="I13" s="39"/>
      <c r="J13" s="44"/>
      <c r="K13" s="39"/>
      <c r="L13" s="4"/>
    </row>
    <row r="14" spans="1:19" ht="18.75" thickTop="1">
      <c r="A14" s="47" t="s">
        <v>28</v>
      </c>
      <c r="B14" s="117"/>
      <c r="D14" s="18"/>
      <c r="E14" s="2"/>
      <c r="I14" s="22"/>
      <c r="J14" s="23"/>
      <c r="K14" s="24"/>
      <c r="L14" s="4"/>
      <c r="Q14" s="174"/>
      <c r="R14" s="175" t="s">
        <v>76</v>
      </c>
      <c r="S14" s="154">
        <f>10^(R22-S22/(G7+T22))</f>
        <v>78.441147868964691</v>
      </c>
    </row>
    <row r="15" spans="1:19">
      <c r="A15" s="124" t="s">
        <v>5</v>
      </c>
      <c r="B15" s="107">
        <f>+G19*G20+O11*O12-G11*G12-O19*O20</f>
        <v>-8.9218764487419833E-8</v>
      </c>
      <c r="D15" s="18"/>
      <c r="E15" s="2"/>
      <c r="I15" s="22"/>
      <c r="J15" s="23"/>
      <c r="K15" s="24"/>
      <c r="L15" s="4"/>
      <c r="Q15" s="160"/>
      <c r="R15" s="176" t="s">
        <v>46</v>
      </c>
      <c r="S15" s="156">
        <f>U22/(O20+(1-O20)*U22)-U23/((1-O20)+O20*U23)</f>
        <v>0.18015132870171457</v>
      </c>
    </row>
    <row r="16" spans="1:19" ht="18">
      <c r="A16" s="124" t="s">
        <v>50</v>
      </c>
      <c r="B16" s="107">
        <f>+G19*(1-G20)-G11*(1-G12)</f>
        <v>8.9098421085509472E-8</v>
      </c>
      <c r="D16" s="18"/>
      <c r="E16" s="2"/>
      <c r="I16" s="22"/>
      <c r="J16" s="23">
        <v>2</v>
      </c>
      <c r="K16" s="24"/>
      <c r="L16" s="4"/>
      <c r="Q16" s="160"/>
      <c r="R16" s="176" t="s">
        <v>47</v>
      </c>
      <c r="S16" s="156">
        <f>+EXP(-LN(O20+(1-O20)*U22)+(1-O20)*S15)</f>
        <v>5.9550678779593005</v>
      </c>
    </row>
    <row r="17" spans="1:21" ht="15.75" thickBot="1">
      <c r="A17" s="124" t="s">
        <v>0</v>
      </c>
      <c r="B17" s="107">
        <f>+O11*(1-O12)-O19*(1-O20)</f>
        <v>1.3056933312327601E-10</v>
      </c>
      <c r="D17" s="18"/>
      <c r="E17" s="2"/>
      <c r="I17" s="22"/>
      <c r="J17" s="23"/>
      <c r="K17" s="24"/>
      <c r="L17" s="4"/>
      <c r="Q17" s="177"/>
      <c r="R17" s="178" t="s">
        <v>4</v>
      </c>
      <c r="S17" s="159">
        <f>+S16*S14/G8</f>
        <v>0.56620892119360877</v>
      </c>
    </row>
    <row r="18" spans="1:21" ht="16.5" thickTop="1" thickBot="1">
      <c r="A18" s="102" t="s">
        <v>27</v>
      </c>
      <c r="B18" s="48">
        <f>+G12-S17*O20</f>
        <v>1.962405932198763E-17</v>
      </c>
      <c r="I18" s="25"/>
      <c r="J18" s="26"/>
      <c r="K18" s="27"/>
      <c r="L18" s="4"/>
    </row>
    <row r="19" spans="1:21" ht="19.5" thickTop="1" thickBot="1">
      <c r="E19" s="49"/>
      <c r="F19" s="79" t="s">
        <v>29</v>
      </c>
      <c r="G19" s="57">
        <v>686.2460250880689</v>
      </c>
      <c r="I19" s="6"/>
      <c r="K19" s="8"/>
      <c r="L19" s="5"/>
      <c r="M19" s="49"/>
      <c r="N19" s="79" t="s">
        <v>20</v>
      </c>
      <c r="O19" s="57">
        <v>98.100000000000165</v>
      </c>
    </row>
    <row r="20" spans="1:21" ht="19.5" thickTop="1" thickBot="1">
      <c r="E20" s="146"/>
      <c r="F20" s="171" t="s">
        <v>30</v>
      </c>
      <c r="G20" s="172">
        <v>0</v>
      </c>
      <c r="H20" s="9"/>
      <c r="M20" s="106"/>
      <c r="N20" s="116" t="s">
        <v>26</v>
      </c>
      <c r="O20" s="163">
        <v>1.0193679918466658E-3</v>
      </c>
      <c r="Q20" s="64" t="s">
        <v>37</v>
      </c>
      <c r="R20" s="65"/>
      <c r="S20" s="65"/>
      <c r="T20" s="66"/>
      <c r="U20" s="67" t="s">
        <v>38</v>
      </c>
    </row>
    <row r="21" spans="1:21" ht="16.5" thickTop="1" thickBot="1">
      <c r="E21" s="13"/>
      <c r="F21" s="14"/>
      <c r="G21" s="15"/>
      <c r="Q21" s="68"/>
      <c r="R21" s="69" t="s">
        <v>39</v>
      </c>
      <c r="S21" s="69" t="s">
        <v>40</v>
      </c>
      <c r="T21" s="70" t="s">
        <v>41</v>
      </c>
      <c r="U21" s="71" t="s">
        <v>42</v>
      </c>
    </row>
    <row r="22" spans="1:21" ht="16.5" thickTop="1" thickBot="1">
      <c r="A22" s="136" t="s">
        <v>84</v>
      </c>
      <c r="B22" s="129"/>
      <c r="C22" s="129"/>
      <c r="D22" s="129"/>
      <c r="E22" s="129"/>
      <c r="F22" s="129"/>
      <c r="G22" s="129"/>
      <c r="H22" s="129"/>
      <c r="I22" s="130"/>
      <c r="M22" s="146" t="s">
        <v>92</v>
      </c>
      <c r="N22" s="147"/>
      <c r="O22" s="16"/>
      <c r="Q22" s="68" t="s">
        <v>43</v>
      </c>
      <c r="R22" s="72">
        <v>8.1121999999999996</v>
      </c>
      <c r="S22" s="72">
        <v>1592.864</v>
      </c>
      <c r="T22" s="73">
        <v>226.184</v>
      </c>
      <c r="U22" s="74">
        <v>0.20022000000000001</v>
      </c>
    </row>
    <row r="23" spans="1:21" ht="19.5" thickTop="1" thickBot="1">
      <c r="A23" s="131" t="s">
        <v>87</v>
      </c>
      <c r="B23" s="17"/>
      <c r="C23" s="17"/>
      <c r="D23" s="17"/>
      <c r="E23" s="17"/>
      <c r="F23" s="17"/>
      <c r="G23" s="17"/>
      <c r="H23" s="17"/>
      <c r="I23" s="132"/>
      <c r="M23" s="160" t="s">
        <v>16</v>
      </c>
      <c r="N23" s="161"/>
      <c r="O23" s="13"/>
      <c r="Q23" s="75" t="s">
        <v>44</v>
      </c>
      <c r="R23" s="76">
        <v>7.9668099999999997</v>
      </c>
      <c r="S23" s="76">
        <v>1668.21</v>
      </c>
      <c r="T23" s="77">
        <v>228</v>
      </c>
      <c r="U23" s="78">
        <v>0.81564000000000003</v>
      </c>
    </row>
    <row r="24" spans="1:21" ht="16.5" thickTop="1" thickBot="1">
      <c r="A24" s="137" t="s">
        <v>91</v>
      </c>
      <c r="B24" s="17"/>
      <c r="C24" s="17"/>
      <c r="D24" s="17"/>
      <c r="E24" s="17"/>
      <c r="F24" s="17"/>
      <c r="G24" s="17"/>
      <c r="H24" s="17"/>
      <c r="I24" s="132"/>
      <c r="M24" s="49" t="s">
        <v>93</v>
      </c>
      <c r="N24" s="50"/>
    </row>
    <row r="25" spans="1:21" ht="16.5" thickTop="1" thickBot="1">
      <c r="A25" s="137" t="s">
        <v>89</v>
      </c>
      <c r="B25" s="17"/>
      <c r="C25" s="17"/>
      <c r="D25" s="17"/>
      <c r="E25" s="17"/>
      <c r="F25" s="17"/>
      <c r="G25" s="17"/>
      <c r="H25" s="17"/>
      <c r="I25" s="132"/>
      <c r="M25" s="61" t="s">
        <v>94</v>
      </c>
      <c r="N25" s="62"/>
    </row>
    <row r="26" spans="1:21" ht="19.5" thickTop="1" thickBot="1">
      <c r="A26" s="139" t="s">
        <v>90</v>
      </c>
      <c r="B26" s="17"/>
      <c r="C26" s="17"/>
      <c r="D26" s="17"/>
      <c r="E26" s="17"/>
      <c r="F26" s="17"/>
      <c r="G26" s="17"/>
      <c r="H26" s="17"/>
      <c r="I26" s="132"/>
    </row>
    <row r="27" spans="1:21" ht="18.75" thickTop="1">
      <c r="A27" s="137" t="s">
        <v>85</v>
      </c>
      <c r="B27" s="17"/>
      <c r="C27" s="17"/>
      <c r="D27" s="17"/>
      <c r="E27" s="17"/>
      <c r="F27" s="17"/>
      <c r="G27" s="17"/>
      <c r="H27" s="17"/>
      <c r="I27" s="132"/>
      <c r="M27" s="118" t="s">
        <v>95</v>
      </c>
      <c r="N27" s="119"/>
      <c r="O27" s="119" t="s">
        <v>62</v>
      </c>
      <c r="P27" s="120"/>
    </row>
    <row r="28" spans="1:21" ht="18" thickBot="1">
      <c r="A28" s="138" t="s">
        <v>86</v>
      </c>
      <c r="B28" s="134"/>
      <c r="C28" s="134"/>
      <c r="D28" s="134"/>
      <c r="E28" s="134"/>
      <c r="F28" s="134"/>
      <c r="G28" s="134"/>
      <c r="H28" s="134"/>
      <c r="I28" s="135"/>
      <c r="M28" s="121" t="s">
        <v>63</v>
      </c>
      <c r="N28" s="122"/>
      <c r="O28" s="122" t="s">
        <v>64</v>
      </c>
      <c r="P28" s="123"/>
    </row>
    <row r="29" spans="1:21" ht="15.75" thickTop="1"/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Normal="100" workbookViewId="0">
      <selection activeCell="V27" sqref="V27"/>
    </sheetView>
  </sheetViews>
  <sheetFormatPr defaultRowHeight="15"/>
  <cols>
    <col min="2" max="2" width="10.140625" customWidth="1"/>
    <col min="3" max="3" width="5.7109375" customWidth="1"/>
    <col min="4" max="4" width="1.85546875" customWidth="1"/>
    <col min="5" max="5" width="8" customWidth="1"/>
    <col min="7" max="7" width="9.5703125" style="28" bestFit="1" customWidth="1"/>
    <col min="8" max="12" width="2.7109375" customWidth="1"/>
    <col min="13" max="13" width="8.5703125" customWidth="1"/>
    <col min="15" max="15" width="9" customWidth="1"/>
  </cols>
  <sheetData>
    <row r="1" spans="1:19">
      <c r="A1" t="s">
        <v>36</v>
      </c>
    </row>
    <row r="2" spans="1:19" ht="15.75" thickBot="1">
      <c r="A2" s="10"/>
    </row>
    <row r="3" spans="1:19" ht="19.5" thickTop="1" thickBot="1">
      <c r="A3" s="150" t="s">
        <v>32</v>
      </c>
      <c r="B3" s="173"/>
      <c r="C3" s="63"/>
      <c r="E3" s="49"/>
      <c r="F3" s="79" t="s">
        <v>18</v>
      </c>
      <c r="G3" s="57"/>
      <c r="M3" s="148"/>
      <c r="N3" s="165" t="s">
        <v>49</v>
      </c>
      <c r="O3" s="143"/>
    </row>
    <row r="4" spans="1:19" ht="19.5" thickTop="1" thickBot="1">
      <c r="D4" s="10"/>
      <c r="E4" s="106"/>
      <c r="F4" s="116" t="s">
        <v>19</v>
      </c>
      <c r="G4" s="163"/>
      <c r="H4" s="9"/>
      <c r="I4" s="40"/>
      <c r="K4" s="41"/>
      <c r="L4" s="7"/>
      <c r="M4" s="169"/>
      <c r="N4" s="167" t="s">
        <v>31</v>
      </c>
      <c r="O4" s="170"/>
    </row>
    <row r="5" spans="1:19" ht="18.75" thickTop="1">
      <c r="A5" s="47" t="s">
        <v>25</v>
      </c>
      <c r="B5" s="140"/>
      <c r="D5" s="18"/>
      <c r="E5" s="10"/>
      <c r="I5" s="19"/>
      <c r="J5" s="20"/>
      <c r="K5" s="21"/>
      <c r="L5" s="4"/>
      <c r="M5" s="10"/>
      <c r="N5" s="11"/>
      <c r="O5" s="12"/>
      <c r="Q5" s="174"/>
      <c r="R5" s="175" t="s">
        <v>76</v>
      </c>
      <c r="S5" s="154"/>
    </row>
    <row r="6" spans="1:19" ht="15.75" thickBot="1">
      <c r="A6" s="124" t="s">
        <v>5</v>
      </c>
      <c r="B6" s="107"/>
      <c r="D6" s="18"/>
      <c r="E6" s="2"/>
      <c r="I6" s="22"/>
      <c r="J6" s="17"/>
      <c r="K6" s="24"/>
      <c r="L6" s="4"/>
      <c r="M6" s="10"/>
      <c r="N6" s="11"/>
      <c r="O6" s="12"/>
      <c r="Q6" s="160"/>
      <c r="R6" s="176" t="s">
        <v>46</v>
      </c>
      <c r="S6" s="156"/>
    </row>
    <row r="7" spans="1:19" ht="19.5" thickTop="1">
      <c r="A7" s="124" t="s">
        <v>50</v>
      </c>
      <c r="B7" s="107"/>
      <c r="E7" s="148"/>
      <c r="F7" s="165" t="s">
        <v>35</v>
      </c>
      <c r="G7" s="143"/>
      <c r="I7" s="22"/>
      <c r="J7" s="23">
        <v>1</v>
      </c>
      <c r="K7" s="24"/>
      <c r="L7" s="4"/>
      <c r="M7" s="10"/>
      <c r="N7" s="11"/>
      <c r="O7" s="12"/>
      <c r="Q7" s="160"/>
      <c r="R7" s="176" t="s">
        <v>47</v>
      </c>
      <c r="S7" s="156"/>
    </row>
    <row r="8" spans="1:19" ht="15.75" thickBot="1">
      <c r="A8" s="124" t="s">
        <v>0</v>
      </c>
      <c r="B8" s="107"/>
      <c r="D8" s="18"/>
      <c r="E8" s="166"/>
      <c r="F8" s="167" t="s">
        <v>34</v>
      </c>
      <c r="G8" s="168"/>
      <c r="I8" s="22"/>
      <c r="J8" s="23"/>
      <c r="K8" s="24"/>
      <c r="L8" s="4"/>
      <c r="M8" s="10"/>
      <c r="N8" s="11"/>
      <c r="O8" s="12"/>
      <c r="Q8" s="177"/>
      <c r="R8" s="178" t="s">
        <v>4</v>
      </c>
      <c r="S8" s="159"/>
    </row>
    <row r="9" spans="1:19" ht="16.5" thickTop="1" thickBot="1">
      <c r="A9" s="124" t="s">
        <v>6</v>
      </c>
      <c r="B9" s="107"/>
      <c r="D9" s="18"/>
      <c r="E9" s="80"/>
      <c r="F9" s="81"/>
      <c r="G9" s="82"/>
      <c r="I9" s="22"/>
      <c r="J9" s="23"/>
      <c r="K9" s="24"/>
      <c r="L9" s="4"/>
    </row>
    <row r="10" spans="1:19" ht="16.5" thickTop="1" thickBot="1">
      <c r="A10" s="102" t="s">
        <v>48</v>
      </c>
      <c r="B10" s="48"/>
      <c r="D10" s="18"/>
      <c r="E10" s="30"/>
      <c r="I10" s="38"/>
      <c r="J10" s="42"/>
      <c r="K10" s="38"/>
      <c r="L10" s="4"/>
    </row>
    <row r="11" spans="1:19" ht="18.75" thickTop="1">
      <c r="B11" s="45"/>
      <c r="D11" s="18"/>
      <c r="E11" s="49"/>
      <c r="F11" s="79" t="s">
        <v>21</v>
      </c>
      <c r="G11" s="57"/>
      <c r="I11" s="10"/>
      <c r="J11" s="43"/>
      <c r="K11" s="10"/>
      <c r="L11" s="4"/>
      <c r="M11" s="53"/>
      <c r="N11" s="79" t="s">
        <v>23</v>
      </c>
      <c r="O11" s="57"/>
    </row>
    <row r="12" spans="1:19" ht="18.75" thickBot="1">
      <c r="D12" s="18"/>
      <c r="E12" s="106"/>
      <c r="F12" s="116" t="s">
        <v>22</v>
      </c>
      <c r="G12" s="163"/>
      <c r="I12" s="10"/>
      <c r="J12" s="43"/>
      <c r="K12" s="10"/>
      <c r="L12" s="4"/>
      <c r="M12" s="164"/>
      <c r="N12" s="116" t="s">
        <v>24</v>
      </c>
      <c r="O12" s="163"/>
    </row>
    <row r="13" spans="1:19" ht="16.5" thickTop="1" thickBot="1">
      <c r="D13" s="18"/>
      <c r="E13" s="30"/>
      <c r="I13" s="39"/>
      <c r="J13" s="44"/>
      <c r="K13" s="39"/>
      <c r="L13" s="4"/>
    </row>
    <row r="14" spans="1:19" ht="18.75" thickTop="1">
      <c r="A14" s="47" t="s">
        <v>28</v>
      </c>
      <c r="B14" s="117"/>
      <c r="D14" s="18"/>
      <c r="E14" s="2"/>
      <c r="I14" s="22"/>
      <c r="J14" s="23"/>
      <c r="K14" s="24"/>
      <c r="L14" s="4"/>
      <c r="Q14" s="174"/>
      <c r="R14" s="175" t="s">
        <v>76</v>
      </c>
      <c r="S14" s="154"/>
    </row>
    <row r="15" spans="1:19">
      <c r="A15" s="124" t="s">
        <v>5</v>
      </c>
      <c r="B15" s="107"/>
      <c r="D15" s="18"/>
      <c r="E15" s="2"/>
      <c r="I15" s="22"/>
      <c r="J15" s="23"/>
      <c r="K15" s="24"/>
      <c r="L15" s="4"/>
      <c r="Q15" s="160"/>
      <c r="R15" s="176" t="s">
        <v>46</v>
      </c>
      <c r="S15" s="156"/>
    </row>
    <row r="16" spans="1:19" ht="18">
      <c r="A16" s="124" t="s">
        <v>50</v>
      </c>
      <c r="B16" s="107"/>
      <c r="D16" s="18"/>
      <c r="E16" s="2"/>
      <c r="I16" s="22"/>
      <c r="J16" s="23">
        <v>2</v>
      </c>
      <c r="K16" s="24"/>
      <c r="L16" s="4"/>
      <c r="Q16" s="160"/>
      <c r="R16" s="176" t="s">
        <v>47</v>
      </c>
      <c r="S16" s="156"/>
    </row>
    <row r="17" spans="1:21" ht="15.75" thickBot="1">
      <c r="A17" s="124" t="s">
        <v>0</v>
      </c>
      <c r="B17" s="107"/>
      <c r="D17" s="18"/>
      <c r="E17" s="2"/>
      <c r="I17" s="22"/>
      <c r="J17" s="23"/>
      <c r="K17" s="24"/>
      <c r="L17" s="4"/>
      <c r="Q17" s="177"/>
      <c r="R17" s="178" t="s">
        <v>4</v>
      </c>
      <c r="S17" s="159"/>
    </row>
    <row r="18" spans="1:21" ht="16.5" thickTop="1" thickBot="1">
      <c r="A18" s="102" t="s">
        <v>27</v>
      </c>
      <c r="B18" s="48"/>
      <c r="I18" s="25"/>
      <c r="J18" s="26"/>
      <c r="K18" s="27"/>
      <c r="L18" s="4"/>
    </row>
    <row r="19" spans="1:21" ht="19.5" thickTop="1" thickBot="1">
      <c r="E19" s="49"/>
      <c r="F19" s="79" t="s">
        <v>29</v>
      </c>
      <c r="G19" s="57"/>
      <c r="I19" s="6"/>
      <c r="K19" s="8"/>
      <c r="L19" s="5"/>
      <c r="M19" s="49"/>
      <c r="N19" s="79" t="s">
        <v>20</v>
      </c>
      <c r="O19" s="57"/>
    </row>
    <row r="20" spans="1:21" ht="19.5" thickTop="1" thickBot="1">
      <c r="E20" s="146"/>
      <c r="F20" s="171" t="s">
        <v>30</v>
      </c>
      <c r="G20" s="172"/>
      <c r="H20" s="9"/>
      <c r="M20" s="106"/>
      <c r="N20" s="116" t="s">
        <v>26</v>
      </c>
      <c r="O20" s="163"/>
      <c r="Q20" s="64" t="s">
        <v>37</v>
      </c>
      <c r="R20" s="65"/>
      <c r="S20" s="65"/>
      <c r="T20" s="66"/>
      <c r="U20" s="67" t="s">
        <v>38</v>
      </c>
    </row>
    <row r="21" spans="1:21" ht="16.5" thickTop="1" thickBot="1">
      <c r="E21" s="13"/>
      <c r="F21" s="14"/>
      <c r="G21" s="15"/>
      <c r="Q21" s="68"/>
      <c r="R21" s="69" t="s">
        <v>39</v>
      </c>
      <c r="S21" s="69" t="s">
        <v>40</v>
      </c>
      <c r="T21" s="70" t="s">
        <v>41</v>
      </c>
      <c r="U21" s="71" t="s">
        <v>42</v>
      </c>
    </row>
    <row r="22" spans="1:21" ht="16.5" thickTop="1" thickBot="1">
      <c r="A22" s="162"/>
      <c r="B22" s="10"/>
      <c r="C22" s="10"/>
      <c r="D22" s="10"/>
      <c r="E22" s="10"/>
      <c r="F22" s="10"/>
      <c r="G22" s="10"/>
      <c r="H22" s="10"/>
      <c r="I22" s="10"/>
      <c r="M22" s="146" t="s">
        <v>92</v>
      </c>
      <c r="N22" s="147"/>
      <c r="O22" s="16"/>
      <c r="Q22" s="68" t="s">
        <v>43</v>
      </c>
      <c r="R22" s="72">
        <v>8.1121999999999996</v>
      </c>
      <c r="S22" s="72">
        <v>1592.864</v>
      </c>
      <c r="T22" s="73">
        <v>226.184</v>
      </c>
      <c r="U22" s="74">
        <v>0.20022000000000001</v>
      </c>
    </row>
    <row r="23" spans="1:21" ht="16.5" thickTop="1" thickBot="1">
      <c r="A23" s="10"/>
      <c r="B23" s="10"/>
      <c r="C23" s="10"/>
      <c r="D23" s="10"/>
      <c r="E23" s="10"/>
      <c r="F23" s="10"/>
      <c r="G23" s="10"/>
      <c r="H23" s="10"/>
      <c r="I23" s="10"/>
      <c r="M23" s="160" t="s">
        <v>16</v>
      </c>
      <c r="N23" s="161"/>
      <c r="O23" s="13"/>
      <c r="Q23" s="75" t="s">
        <v>44</v>
      </c>
      <c r="R23" s="76">
        <v>7.9668099999999997</v>
      </c>
      <c r="S23" s="76">
        <v>1668.21</v>
      </c>
      <c r="T23" s="77">
        <v>228</v>
      </c>
      <c r="U23" s="78">
        <v>0.81564000000000003</v>
      </c>
    </row>
    <row r="24" spans="1:21" ht="16.5" thickTop="1" thickBot="1">
      <c r="A24" s="162"/>
      <c r="B24" s="10"/>
      <c r="C24" s="10"/>
      <c r="D24" s="10"/>
      <c r="E24" s="10"/>
      <c r="F24" s="10"/>
      <c r="G24" s="10"/>
      <c r="H24" s="10"/>
      <c r="I24" s="10"/>
      <c r="M24" s="49" t="s">
        <v>93</v>
      </c>
      <c r="N24" s="50"/>
    </row>
    <row r="25" spans="1:21" ht="16.5" thickTop="1" thickBot="1">
      <c r="A25" s="162"/>
      <c r="B25" s="10"/>
      <c r="C25" s="10"/>
      <c r="D25" s="10"/>
      <c r="E25" s="10"/>
      <c r="F25" s="10"/>
      <c r="G25" s="10"/>
      <c r="H25" s="10"/>
      <c r="I25" s="10"/>
      <c r="M25" s="61" t="s">
        <v>94</v>
      </c>
      <c r="N25" s="62"/>
    </row>
    <row r="26" spans="1:21" ht="16.5" thickTop="1" thickBot="1">
      <c r="A26" s="63"/>
      <c r="B26" s="10"/>
      <c r="C26" s="10"/>
      <c r="D26" s="10"/>
      <c r="E26" s="10"/>
      <c r="F26" s="10"/>
      <c r="G26" s="10"/>
      <c r="H26" s="10"/>
      <c r="I26" s="10"/>
    </row>
    <row r="27" spans="1:21" ht="15.75" thickTop="1">
      <c r="A27" s="162"/>
      <c r="B27" s="10"/>
      <c r="C27" s="10"/>
      <c r="D27" s="10"/>
      <c r="E27" s="10"/>
      <c r="F27" s="10"/>
      <c r="G27" s="10"/>
      <c r="H27" s="10"/>
      <c r="I27" s="10"/>
      <c r="M27" s="118" t="s">
        <v>95</v>
      </c>
      <c r="N27" s="119"/>
      <c r="O27" s="119" t="s">
        <v>62</v>
      </c>
      <c r="P27" s="120"/>
    </row>
    <row r="28" spans="1:21" ht="18" thickBot="1">
      <c r="A28" s="162"/>
      <c r="B28" s="10"/>
      <c r="C28" s="10"/>
      <c r="D28" s="10"/>
      <c r="E28" s="10"/>
      <c r="F28" s="10"/>
      <c r="G28" s="10"/>
      <c r="H28" s="10"/>
      <c r="I28" s="10"/>
      <c r="M28" s="121" t="s">
        <v>63</v>
      </c>
      <c r="N28" s="122"/>
      <c r="O28" s="122" t="s">
        <v>64</v>
      </c>
      <c r="P28" s="123"/>
    </row>
    <row r="29" spans="1:21" ht="15.75" thickTop="1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>
      <selection activeCell="K29" sqref="K29"/>
    </sheetView>
  </sheetViews>
  <sheetFormatPr defaultRowHeight="15"/>
  <cols>
    <col min="2" max="2" width="10.140625" customWidth="1"/>
    <col min="3" max="3" width="5.7109375" customWidth="1"/>
    <col min="4" max="4" width="6.5703125" customWidth="1"/>
    <col min="5" max="5" width="9.5703125" style="28" bestFit="1" customWidth="1"/>
    <col min="6" max="10" width="2.7109375" customWidth="1"/>
    <col min="12" max="12" width="9" customWidth="1"/>
  </cols>
  <sheetData>
    <row r="1" spans="1:16" ht="18.75" thickTop="1">
      <c r="A1" t="s">
        <v>61</v>
      </c>
      <c r="K1" s="142" t="s">
        <v>101</v>
      </c>
      <c r="L1" s="143">
        <v>100</v>
      </c>
    </row>
    <row r="2" spans="1:16" ht="18.75" thickBot="1">
      <c r="A2" s="10"/>
      <c r="K2" s="179" t="s">
        <v>102</v>
      </c>
      <c r="L2" s="180">
        <v>0.02</v>
      </c>
    </row>
    <row r="3" spans="1:16" ht="19.5" thickTop="1" thickBot="1">
      <c r="A3" s="4"/>
      <c r="B3" s="4"/>
      <c r="C3" s="63"/>
      <c r="D3" s="126" t="s">
        <v>97</v>
      </c>
      <c r="E3" s="183">
        <v>2.7683533040525382E-3</v>
      </c>
      <c r="K3" s="153" t="s">
        <v>103</v>
      </c>
      <c r="L3" s="154">
        <f>+L1*(1-L2)</f>
        <v>98</v>
      </c>
    </row>
    <row r="4" spans="1:16" ht="19.5" thickTop="1" thickBot="1">
      <c r="A4" s="150" t="s">
        <v>32</v>
      </c>
      <c r="B4" s="173">
        <v>95</v>
      </c>
      <c r="F4" s="9"/>
      <c r="G4" s="40"/>
      <c r="I4" s="41"/>
      <c r="J4" s="7"/>
      <c r="K4" s="181" t="s">
        <v>104</v>
      </c>
      <c r="L4" s="182">
        <f>+L2/(1-L2)</f>
        <v>2.0408163265306124E-2</v>
      </c>
    </row>
    <row r="5" spans="1:16" ht="19.5" thickTop="1" thickBot="1">
      <c r="G5" s="19"/>
      <c r="H5" s="20"/>
      <c r="I5" s="21"/>
      <c r="J5" s="4"/>
      <c r="K5" s="11"/>
      <c r="L5" s="12"/>
      <c r="N5" s="174"/>
      <c r="O5" s="175" t="s">
        <v>76</v>
      </c>
      <c r="P5" s="154">
        <f>10^(O22-P22/(E7+Q22))</f>
        <v>78.441147868964691</v>
      </c>
    </row>
    <row r="6" spans="1:16" ht="19.5" thickTop="1" thickBot="1">
      <c r="A6" s="47" t="s">
        <v>25</v>
      </c>
      <c r="B6" s="140"/>
      <c r="G6" s="22"/>
      <c r="H6" s="17"/>
      <c r="I6" s="24"/>
      <c r="J6" s="4"/>
      <c r="K6" s="11"/>
      <c r="L6" s="12"/>
      <c r="N6" s="160"/>
      <c r="O6" s="176" t="s">
        <v>108</v>
      </c>
      <c r="P6" s="184">
        <f>+L11/(1+L11)</f>
        <v>5.0393460370873394E-3</v>
      </c>
    </row>
    <row r="7" spans="1:16" ht="15.75" thickTop="1">
      <c r="A7" s="124" t="s">
        <v>5</v>
      </c>
      <c r="B7" s="107">
        <f>+L3*L4+E11*E19-L3*L11-E19*E3</f>
        <v>-1.746768174548663E-8</v>
      </c>
      <c r="D7" s="142" t="s">
        <v>100</v>
      </c>
      <c r="E7" s="143">
        <v>30</v>
      </c>
      <c r="G7" s="22"/>
      <c r="H7" s="23">
        <v>1</v>
      </c>
      <c r="I7" s="24"/>
      <c r="J7" s="4"/>
      <c r="K7" s="11"/>
      <c r="L7" s="12"/>
      <c r="N7" s="160"/>
      <c r="O7" s="176" t="s">
        <v>46</v>
      </c>
      <c r="P7" s="156">
        <f>R22/(P6+(1-P6)*R22)-R23/((1-P6)+P6*R23)</f>
        <v>0.16386903271427089</v>
      </c>
    </row>
    <row r="8" spans="1:16" ht="18.75" thickBot="1">
      <c r="A8" s="124" t="s">
        <v>6</v>
      </c>
      <c r="B8" s="107">
        <f>+E3/(1+E3)-P9*L11/(1+L11)</f>
        <v>-5.6713713047443909E-7</v>
      </c>
      <c r="D8" s="144" t="s">
        <v>73</v>
      </c>
      <c r="E8" s="168">
        <v>825</v>
      </c>
      <c r="G8" s="22"/>
      <c r="H8" s="23"/>
      <c r="I8" s="24"/>
      <c r="J8" s="4"/>
      <c r="K8" s="11"/>
      <c r="L8" s="12"/>
      <c r="N8" s="160"/>
      <c r="O8" s="176" t="s">
        <v>47</v>
      </c>
      <c r="P8" s="156">
        <f>+EXP(-LN(P6+(1-P6)*R22)+(1-P6)*P7)</f>
        <v>5.762964328175098</v>
      </c>
    </row>
    <row r="9" spans="1:16" ht="16.5" thickTop="1" thickBot="1">
      <c r="A9" s="102" t="s">
        <v>60</v>
      </c>
      <c r="B9" s="48">
        <f>+L3*L4*B4/100-E3*E19</f>
        <v>-2.7011223702189113E-8</v>
      </c>
      <c r="D9" s="81"/>
      <c r="E9" s="82"/>
      <c r="G9" s="22"/>
      <c r="H9" s="23"/>
      <c r="I9" s="24"/>
      <c r="J9" s="4"/>
      <c r="N9" s="177"/>
      <c r="O9" s="178" t="s">
        <v>4</v>
      </c>
      <c r="P9" s="159">
        <f>+P8*P5/E8</f>
        <v>0.54794368124842618</v>
      </c>
    </row>
    <row r="10" spans="1:16" ht="16.5" thickTop="1" thickBot="1">
      <c r="G10" s="38"/>
      <c r="H10" s="42"/>
      <c r="I10" s="38"/>
      <c r="J10" s="4"/>
    </row>
    <row r="11" spans="1:16" ht="19.5" thickTop="1" thickBot="1">
      <c r="B11" s="45"/>
      <c r="D11" s="126" t="s">
        <v>99</v>
      </c>
      <c r="E11" s="183">
        <v>5.7750360581560541E-4</v>
      </c>
      <c r="G11" s="10"/>
      <c r="H11" s="43"/>
      <c r="I11" s="10"/>
      <c r="J11" s="4"/>
      <c r="K11" s="126" t="s">
        <v>105</v>
      </c>
      <c r="L11" s="183">
        <v>5.0648696679770231E-3</v>
      </c>
    </row>
    <row r="12" spans="1:16" ht="15.75" thickTop="1">
      <c r="G12" s="10"/>
      <c r="H12" s="43"/>
      <c r="I12" s="10"/>
      <c r="J12" s="4"/>
    </row>
    <row r="13" spans="1:16" ht="15.75" thickBot="1">
      <c r="G13" s="39"/>
      <c r="H13" s="44"/>
      <c r="I13" s="39"/>
      <c r="J13" s="4"/>
    </row>
    <row r="14" spans="1:16" ht="19.5" thickTop="1" thickBot="1">
      <c r="G14" s="22"/>
      <c r="H14" s="23"/>
      <c r="I14" s="24"/>
      <c r="J14" s="4"/>
      <c r="N14" s="174"/>
      <c r="O14" s="175" t="s">
        <v>76</v>
      </c>
      <c r="P14" s="154">
        <f>10^(O22-P22/(E7+Q22))</f>
        <v>78.441147868964691</v>
      </c>
    </row>
    <row r="15" spans="1:16" ht="15.4" customHeight="1" thickTop="1">
      <c r="A15" s="47" t="s">
        <v>28</v>
      </c>
      <c r="B15" s="117"/>
      <c r="G15" s="22"/>
      <c r="H15" s="23"/>
      <c r="I15" s="24"/>
      <c r="J15" s="4"/>
      <c r="N15" s="160"/>
      <c r="O15" s="176" t="s">
        <v>109</v>
      </c>
      <c r="P15" s="184">
        <f>+L19/(1+L19)</f>
        <v>1.0193679918433377E-3</v>
      </c>
    </row>
    <row r="16" spans="1:16">
      <c r="A16" s="124" t="s">
        <v>5</v>
      </c>
      <c r="B16" s="107">
        <f>+L11*L3+E19*E20-E11*E19-L19*L3</f>
        <v>-9.5433729113691967E-9</v>
      </c>
      <c r="G16" s="22"/>
      <c r="H16" s="23">
        <v>2</v>
      </c>
      <c r="I16" s="24"/>
      <c r="J16" s="4"/>
      <c r="N16" s="160"/>
      <c r="O16" s="176" t="s">
        <v>46</v>
      </c>
      <c r="P16" s="156">
        <f>R22/(P15+(1-P15)*R22)-R23/((1-P15)+P15*R23)</f>
        <v>0.18015132870172812</v>
      </c>
    </row>
    <row r="17" spans="1:18" ht="18.75" thickBot="1">
      <c r="A17" s="102" t="s">
        <v>27</v>
      </c>
      <c r="B17" s="48">
        <f>+E11/(1+E11)-P18*L19/(1+L19)</f>
        <v>-4.9630677498519252E-9</v>
      </c>
      <c r="G17" s="22"/>
      <c r="H17" s="23"/>
      <c r="I17" s="24"/>
      <c r="J17" s="4"/>
      <c r="N17" s="160"/>
      <c r="O17" s="176" t="s">
        <v>47</v>
      </c>
      <c r="P17" s="156">
        <f>+EXP(-LN(P15+(1-P15)*R22)+(1-P15)*P16)</f>
        <v>5.955067877959463</v>
      </c>
    </row>
    <row r="18" spans="1:18" ht="16.5" thickTop="1" thickBot="1">
      <c r="G18" s="25"/>
      <c r="H18" s="26"/>
      <c r="I18" s="27"/>
      <c r="J18" s="4"/>
      <c r="N18" s="177"/>
      <c r="O18" s="178" t="s">
        <v>4</v>
      </c>
      <c r="P18" s="159">
        <f>+P17*P14/E8</f>
        <v>0.5662089211936242</v>
      </c>
    </row>
    <row r="19" spans="1:18" ht="19.5" thickTop="1" thickBot="1">
      <c r="D19" s="126" t="s">
        <v>107</v>
      </c>
      <c r="E19" s="127">
        <v>686.32859260768873</v>
      </c>
      <c r="G19" s="6"/>
      <c r="I19" s="8"/>
      <c r="J19" s="5"/>
      <c r="K19" s="126" t="s">
        <v>106</v>
      </c>
      <c r="L19" s="183">
        <v>1.0204081632635843E-3</v>
      </c>
    </row>
    <row r="20" spans="1:18" ht="19.5" thickTop="1" thickBot="1">
      <c r="D20" s="150" t="s">
        <v>98</v>
      </c>
      <c r="E20" s="172">
        <v>0</v>
      </c>
      <c r="F20" s="9"/>
      <c r="N20" s="64" t="s">
        <v>37</v>
      </c>
      <c r="O20" s="65"/>
      <c r="P20" s="65"/>
      <c r="Q20" s="66"/>
      <c r="R20" s="67" t="s">
        <v>38</v>
      </c>
    </row>
    <row r="21" spans="1:18" ht="16.5" thickTop="1" thickBot="1">
      <c r="D21" s="14"/>
      <c r="E21" s="15"/>
      <c r="N21" s="68"/>
      <c r="O21" s="69" t="s">
        <v>39</v>
      </c>
      <c r="P21" s="69" t="s">
        <v>40</v>
      </c>
      <c r="Q21" s="70" t="s">
        <v>41</v>
      </c>
      <c r="R21" s="71" t="s">
        <v>42</v>
      </c>
    </row>
    <row r="22" spans="1:18" ht="16.5" thickTop="1" thickBot="1">
      <c r="A22" s="146" t="s">
        <v>92</v>
      </c>
      <c r="B22" s="147"/>
      <c r="C22" s="16"/>
      <c r="E22" s="16"/>
      <c r="K22" s="14"/>
      <c r="L22" s="16"/>
      <c r="N22" s="68" t="s">
        <v>43</v>
      </c>
      <c r="O22" s="72">
        <v>8.1121999999999996</v>
      </c>
      <c r="P22" s="72">
        <v>1592.864</v>
      </c>
      <c r="Q22" s="73">
        <v>226.184</v>
      </c>
      <c r="R22" s="74">
        <v>0.20022000000000001</v>
      </c>
    </row>
    <row r="23" spans="1:18" ht="16.5" thickTop="1" thickBot="1">
      <c r="A23" s="160" t="s">
        <v>16</v>
      </c>
      <c r="B23" s="161"/>
      <c r="C23" s="118" t="s">
        <v>95</v>
      </c>
      <c r="D23" s="119"/>
      <c r="E23" s="119" t="s">
        <v>62</v>
      </c>
      <c r="F23" s="120"/>
      <c r="K23" s="13"/>
      <c r="L23" s="13"/>
      <c r="N23" s="75" t="s">
        <v>44</v>
      </c>
      <c r="O23" s="76">
        <v>7.9668099999999997</v>
      </c>
      <c r="P23" s="76">
        <v>1668.21</v>
      </c>
      <c r="Q23" s="77">
        <v>228</v>
      </c>
      <c r="R23" s="78">
        <v>0.81564000000000003</v>
      </c>
    </row>
    <row r="24" spans="1:18" ht="18.75" thickTop="1" thickBot="1">
      <c r="A24" s="49" t="s">
        <v>93</v>
      </c>
      <c r="B24" s="50"/>
      <c r="C24" s="121" t="s">
        <v>63</v>
      </c>
      <c r="D24" s="122"/>
      <c r="E24" s="122" t="s">
        <v>64</v>
      </c>
      <c r="F24" s="123"/>
    </row>
    <row r="25" spans="1:18" ht="16.5" thickTop="1" thickBot="1">
      <c r="A25" s="61" t="s">
        <v>94</v>
      </c>
      <c r="B25" s="62"/>
    </row>
    <row r="26" spans="1:18" ht="15.75" thickTop="1"/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>
      <selection activeCell="K24" sqref="K24"/>
    </sheetView>
  </sheetViews>
  <sheetFormatPr defaultRowHeight="15"/>
  <cols>
    <col min="2" max="2" width="10.140625" customWidth="1"/>
    <col min="3" max="3" width="5.7109375" customWidth="1"/>
    <col min="4" max="4" width="6.5703125" customWidth="1"/>
    <col min="5" max="5" width="9.5703125" style="28" bestFit="1" customWidth="1"/>
    <col min="6" max="10" width="2.7109375" customWidth="1"/>
    <col min="12" max="12" width="9" customWidth="1"/>
  </cols>
  <sheetData>
    <row r="1" spans="1:16" ht="18.75" thickTop="1">
      <c r="A1" t="s">
        <v>61</v>
      </c>
      <c r="K1" s="142" t="s">
        <v>101</v>
      </c>
      <c r="L1" s="143"/>
    </row>
    <row r="2" spans="1:16" ht="18.75" thickBot="1">
      <c r="A2" s="10"/>
      <c r="K2" s="179" t="s">
        <v>102</v>
      </c>
      <c r="L2" s="180"/>
    </row>
    <row r="3" spans="1:16" ht="19.5" thickTop="1" thickBot="1">
      <c r="A3" s="4"/>
      <c r="B3" s="4"/>
      <c r="C3" s="63"/>
      <c r="D3" s="126" t="s">
        <v>97</v>
      </c>
      <c r="E3" s="183"/>
      <c r="K3" s="153" t="s">
        <v>103</v>
      </c>
      <c r="L3" s="154"/>
    </row>
    <row r="4" spans="1:16" ht="19.5" thickTop="1" thickBot="1">
      <c r="A4" s="150" t="s">
        <v>32</v>
      </c>
      <c r="B4" s="173"/>
      <c r="F4" s="9"/>
      <c r="G4" s="40"/>
      <c r="I4" s="41"/>
      <c r="J4" s="7"/>
      <c r="K4" s="181" t="s">
        <v>104</v>
      </c>
      <c r="L4" s="182"/>
    </row>
    <row r="5" spans="1:16" ht="19.5" thickTop="1" thickBot="1">
      <c r="G5" s="19"/>
      <c r="H5" s="20"/>
      <c r="I5" s="21"/>
      <c r="J5" s="4"/>
      <c r="K5" s="11"/>
      <c r="L5" s="12"/>
      <c r="N5" s="174"/>
      <c r="O5" s="175" t="s">
        <v>76</v>
      </c>
      <c r="P5" s="154"/>
    </row>
    <row r="6" spans="1:16" ht="19.5" thickTop="1" thickBot="1">
      <c r="A6" s="47" t="s">
        <v>25</v>
      </c>
      <c r="B6" s="140"/>
      <c r="G6" s="22"/>
      <c r="H6" s="17"/>
      <c r="I6" s="24"/>
      <c r="J6" s="4"/>
      <c r="K6" s="11"/>
      <c r="L6" s="12"/>
      <c r="N6" s="160"/>
      <c r="O6" s="176" t="s">
        <v>108</v>
      </c>
      <c r="P6" s="184"/>
    </row>
    <row r="7" spans="1:16" ht="15.75" thickTop="1">
      <c r="A7" s="124" t="s">
        <v>5</v>
      </c>
      <c r="B7" s="107"/>
      <c r="D7" s="142" t="s">
        <v>100</v>
      </c>
      <c r="E7" s="143"/>
      <c r="G7" s="22"/>
      <c r="H7" s="23">
        <v>1</v>
      </c>
      <c r="I7" s="24"/>
      <c r="J7" s="4"/>
      <c r="K7" s="11"/>
      <c r="L7" s="12"/>
      <c r="N7" s="160"/>
      <c r="O7" s="176" t="s">
        <v>46</v>
      </c>
      <c r="P7" s="156"/>
    </row>
    <row r="8" spans="1:16" ht="18.75" thickBot="1">
      <c r="A8" s="124" t="s">
        <v>6</v>
      </c>
      <c r="B8" s="107"/>
      <c r="D8" s="144" t="s">
        <v>73</v>
      </c>
      <c r="E8" s="168"/>
      <c r="G8" s="22"/>
      <c r="H8" s="23"/>
      <c r="I8" s="24"/>
      <c r="J8" s="4"/>
      <c r="K8" s="11"/>
      <c r="L8" s="12"/>
      <c r="N8" s="160"/>
      <c r="O8" s="176" t="s">
        <v>47</v>
      </c>
      <c r="P8" s="156"/>
    </row>
    <row r="9" spans="1:16" ht="16.5" thickTop="1" thickBot="1">
      <c r="A9" s="102" t="s">
        <v>60</v>
      </c>
      <c r="B9" s="48"/>
      <c r="D9" s="81"/>
      <c r="E9" s="82"/>
      <c r="G9" s="22"/>
      <c r="H9" s="23"/>
      <c r="I9" s="24"/>
      <c r="J9" s="4"/>
      <c r="N9" s="177"/>
      <c r="O9" s="178" t="s">
        <v>4</v>
      </c>
      <c r="P9" s="159"/>
    </row>
    <row r="10" spans="1:16" ht="16.5" thickTop="1" thickBot="1">
      <c r="G10" s="38"/>
      <c r="H10" s="42"/>
      <c r="I10" s="38"/>
      <c r="J10" s="4"/>
    </row>
    <row r="11" spans="1:16" ht="19.5" thickTop="1" thickBot="1">
      <c r="B11" s="45"/>
      <c r="D11" s="126" t="s">
        <v>99</v>
      </c>
      <c r="E11" s="183"/>
      <c r="G11" s="10"/>
      <c r="H11" s="43"/>
      <c r="I11" s="10"/>
      <c r="J11" s="4"/>
      <c r="K11" s="126" t="s">
        <v>105</v>
      </c>
      <c r="L11" s="183"/>
    </row>
    <row r="12" spans="1:16" ht="15.75" thickTop="1">
      <c r="G12" s="10"/>
      <c r="H12" s="43"/>
      <c r="I12" s="10"/>
      <c r="J12" s="4"/>
    </row>
    <row r="13" spans="1:16" ht="15.75" thickBot="1">
      <c r="G13" s="39"/>
      <c r="H13" s="44"/>
      <c r="I13" s="39"/>
      <c r="J13" s="4"/>
    </row>
    <row r="14" spans="1:16" ht="19.5" thickTop="1" thickBot="1">
      <c r="G14" s="22"/>
      <c r="H14" s="23"/>
      <c r="I14" s="24"/>
      <c r="J14" s="4"/>
      <c r="N14" s="174"/>
      <c r="O14" s="175" t="s">
        <v>76</v>
      </c>
      <c r="P14" s="154"/>
    </row>
    <row r="15" spans="1:16" ht="15.4" customHeight="1" thickTop="1">
      <c r="A15" s="47" t="s">
        <v>28</v>
      </c>
      <c r="B15" s="117"/>
      <c r="G15" s="22"/>
      <c r="H15" s="23"/>
      <c r="I15" s="24"/>
      <c r="J15" s="4"/>
      <c r="N15" s="160"/>
      <c r="O15" s="176" t="s">
        <v>109</v>
      </c>
      <c r="P15" s="184"/>
    </row>
    <row r="16" spans="1:16">
      <c r="A16" s="124" t="s">
        <v>5</v>
      </c>
      <c r="B16" s="107"/>
      <c r="G16" s="22"/>
      <c r="H16" s="23">
        <v>2</v>
      </c>
      <c r="I16" s="24"/>
      <c r="J16" s="4"/>
      <c r="N16" s="160"/>
      <c r="O16" s="176" t="s">
        <v>46</v>
      </c>
      <c r="P16" s="156"/>
    </row>
    <row r="17" spans="1:18" ht="18.75" thickBot="1">
      <c r="A17" s="102" t="s">
        <v>27</v>
      </c>
      <c r="B17" s="48"/>
      <c r="G17" s="22"/>
      <c r="H17" s="23"/>
      <c r="I17" s="24"/>
      <c r="J17" s="4"/>
      <c r="N17" s="160"/>
      <c r="O17" s="176" t="s">
        <v>47</v>
      </c>
      <c r="P17" s="156"/>
    </row>
    <row r="18" spans="1:18" ht="16.5" thickTop="1" thickBot="1">
      <c r="G18" s="25"/>
      <c r="H18" s="26"/>
      <c r="I18" s="27"/>
      <c r="J18" s="4"/>
      <c r="N18" s="177"/>
      <c r="O18" s="178" t="s">
        <v>4</v>
      </c>
      <c r="P18" s="159"/>
    </row>
    <row r="19" spans="1:18" ht="19.5" thickTop="1" thickBot="1">
      <c r="D19" s="126" t="s">
        <v>107</v>
      </c>
      <c r="E19" s="127"/>
      <c r="G19" s="6"/>
      <c r="I19" s="8"/>
      <c r="J19" s="5"/>
      <c r="K19" s="126" t="s">
        <v>106</v>
      </c>
      <c r="L19" s="183"/>
    </row>
    <row r="20" spans="1:18" ht="19.5" thickTop="1" thickBot="1">
      <c r="D20" s="150" t="s">
        <v>98</v>
      </c>
      <c r="E20" s="172"/>
      <c r="F20" s="9"/>
      <c r="N20" s="64" t="s">
        <v>37</v>
      </c>
      <c r="O20" s="65"/>
      <c r="P20" s="65"/>
      <c r="Q20" s="66"/>
      <c r="R20" s="67" t="s">
        <v>38</v>
      </c>
    </row>
    <row r="21" spans="1:18" ht="16.5" thickTop="1" thickBot="1">
      <c r="D21" s="14"/>
      <c r="E21" s="15"/>
      <c r="N21" s="68"/>
      <c r="O21" s="69" t="s">
        <v>39</v>
      </c>
      <c r="P21" s="69" t="s">
        <v>40</v>
      </c>
      <c r="Q21" s="70" t="s">
        <v>41</v>
      </c>
      <c r="R21" s="71" t="s">
        <v>42</v>
      </c>
    </row>
    <row r="22" spans="1:18" ht="16.5" thickTop="1" thickBot="1">
      <c r="A22" s="146" t="s">
        <v>92</v>
      </c>
      <c r="B22" s="147"/>
      <c r="C22" s="16"/>
      <c r="E22" s="16"/>
      <c r="K22" s="14"/>
      <c r="L22" s="16"/>
      <c r="N22" s="68" t="s">
        <v>43</v>
      </c>
      <c r="O22" s="72">
        <v>8.1121999999999996</v>
      </c>
      <c r="P22" s="72">
        <v>1592.864</v>
      </c>
      <c r="Q22" s="73">
        <v>226.184</v>
      </c>
      <c r="R22" s="74">
        <v>0.20022000000000001</v>
      </c>
    </row>
    <row r="23" spans="1:18" ht="16.5" thickTop="1" thickBot="1">
      <c r="A23" s="160" t="s">
        <v>16</v>
      </c>
      <c r="B23" s="161"/>
      <c r="C23" s="118" t="s">
        <v>95</v>
      </c>
      <c r="D23" s="119"/>
      <c r="E23" s="119" t="s">
        <v>62</v>
      </c>
      <c r="F23" s="120"/>
      <c r="K23" s="13"/>
      <c r="L23" s="13"/>
      <c r="N23" s="75" t="s">
        <v>44</v>
      </c>
      <c r="O23" s="76">
        <v>7.9668099999999997</v>
      </c>
      <c r="P23" s="76">
        <v>1668.21</v>
      </c>
      <c r="Q23" s="77">
        <v>228</v>
      </c>
      <c r="R23" s="78">
        <v>0.81564000000000003</v>
      </c>
    </row>
    <row r="24" spans="1:18" ht="18.75" thickTop="1" thickBot="1">
      <c r="A24" s="49" t="s">
        <v>93</v>
      </c>
      <c r="B24" s="50"/>
      <c r="C24" s="121" t="s">
        <v>63</v>
      </c>
      <c r="D24" s="122"/>
      <c r="E24" s="122" t="s">
        <v>64</v>
      </c>
      <c r="F24" s="123"/>
    </row>
    <row r="25" spans="1:18" ht="16.5" thickTop="1" thickBot="1">
      <c r="A25" s="61" t="s">
        <v>94</v>
      </c>
      <c r="B25" s="62"/>
    </row>
    <row r="26" spans="1:18" ht="15.75" thickTop="1"/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110" zoomScaleNormal="110" workbookViewId="0">
      <selection activeCell="L12" sqref="L12"/>
    </sheetView>
  </sheetViews>
  <sheetFormatPr defaultRowHeight="15"/>
  <cols>
    <col min="2" max="2" width="8.28515625" customWidth="1"/>
    <col min="3" max="3" width="9.5703125" bestFit="1" customWidth="1"/>
    <col min="4" max="4" width="9.5703125" customWidth="1"/>
    <col min="13" max="13" width="9" customWidth="1"/>
    <col min="14" max="14" width="10" customWidth="1"/>
  </cols>
  <sheetData>
    <row r="1" spans="1:21" ht="15.75" thickBot="1">
      <c r="A1" t="s">
        <v>112</v>
      </c>
    </row>
    <row r="2" spans="1:21" ht="19.5" thickTop="1" thickBot="1">
      <c r="B2" s="276"/>
      <c r="C2" s="165" t="s">
        <v>101</v>
      </c>
      <c r="D2" s="198">
        <v>100</v>
      </c>
      <c r="E2" s="28"/>
      <c r="F2" s="194" t="s">
        <v>12</v>
      </c>
      <c r="G2" s="195">
        <v>232.1121839889239</v>
      </c>
      <c r="H2" s="187"/>
      <c r="I2" s="276"/>
      <c r="J2" s="227" t="s">
        <v>73</v>
      </c>
      <c r="K2" s="228">
        <v>825</v>
      </c>
      <c r="L2" s="187"/>
    </row>
    <row r="3" spans="1:21" ht="19.5" thickTop="1" thickBot="1">
      <c r="B3" s="276"/>
      <c r="C3" s="200" t="s">
        <v>102</v>
      </c>
      <c r="D3" s="201">
        <v>0.02</v>
      </c>
      <c r="E3" s="29"/>
      <c r="F3" s="196" t="s">
        <v>13</v>
      </c>
      <c r="G3" s="197">
        <f>+D2*(1-D3)</f>
        <v>98</v>
      </c>
      <c r="H3" s="187"/>
      <c r="I3" s="276"/>
      <c r="J3" s="229" t="s">
        <v>100</v>
      </c>
      <c r="K3" s="230">
        <v>30</v>
      </c>
      <c r="L3" s="187"/>
      <c r="N3" s="257" t="s">
        <v>17</v>
      </c>
      <c r="O3" s="258"/>
      <c r="P3" s="258"/>
      <c r="Q3" s="258"/>
      <c r="R3" s="258"/>
      <c r="S3" s="259"/>
    </row>
    <row r="4" spans="1:21" ht="19.5" thickTop="1" thickBot="1">
      <c r="B4" s="276"/>
      <c r="C4" s="167" t="s">
        <v>110</v>
      </c>
      <c r="D4" s="202">
        <v>95</v>
      </c>
      <c r="I4" s="277"/>
      <c r="J4" s="231" t="s">
        <v>75</v>
      </c>
      <c r="K4" s="197">
        <f>10^(I20-J20/(K3+K20))</f>
        <v>78.441147868964691</v>
      </c>
      <c r="N4" s="260" t="s">
        <v>7</v>
      </c>
      <c r="O4" s="261"/>
      <c r="P4" s="260" t="s">
        <v>8</v>
      </c>
      <c r="Q4" s="262"/>
      <c r="R4" s="260" t="s">
        <v>10</v>
      </c>
      <c r="S4" s="262"/>
    </row>
    <row r="5" spans="1:21" ht="16.5" thickTop="1" thickBot="1">
      <c r="N5" s="32" t="s">
        <v>2</v>
      </c>
      <c r="O5" s="188" t="s">
        <v>3</v>
      </c>
      <c r="P5" s="32" t="s">
        <v>2</v>
      </c>
      <c r="Q5" s="31" t="s">
        <v>3</v>
      </c>
      <c r="R5" s="32" t="s">
        <v>2</v>
      </c>
      <c r="S5" s="31" t="s">
        <v>3</v>
      </c>
      <c r="T5" s="30"/>
      <c r="U5" s="30"/>
    </row>
    <row r="6" spans="1:21" ht="19.5" thickTop="1" thickBot="1">
      <c r="A6" s="232" t="s">
        <v>1</v>
      </c>
      <c r="B6" s="233" t="s">
        <v>2</v>
      </c>
      <c r="C6" s="233" t="s">
        <v>3</v>
      </c>
      <c r="D6" s="204" t="s">
        <v>51</v>
      </c>
      <c r="E6" s="205" t="s">
        <v>52</v>
      </c>
      <c r="F6" s="206" t="s">
        <v>53</v>
      </c>
      <c r="G6" s="207" t="s">
        <v>54</v>
      </c>
      <c r="H6" s="208" t="s">
        <v>55</v>
      </c>
      <c r="L6" s="30"/>
      <c r="N6" s="36">
        <f t="shared" ref="N6:N13" si="0">+B7</f>
        <v>2.0408163265306121E-2</v>
      </c>
      <c r="O6" s="237">
        <f t="shared" ref="O6:O13" si="1">+C8</f>
        <v>8.1856953804303988E-3</v>
      </c>
      <c r="P6" s="36">
        <f t="shared" ref="P6:Q13" si="2">+B8</f>
        <v>1.6418229036237214E-2</v>
      </c>
      <c r="Q6" s="35">
        <f t="shared" si="2"/>
        <v>8.1856953804303988E-3</v>
      </c>
      <c r="R6" s="36">
        <f>+N6</f>
        <v>2.0408163265306121E-2</v>
      </c>
      <c r="S6" s="35">
        <f>+O6</f>
        <v>8.1856953804303988E-3</v>
      </c>
    </row>
    <row r="7" spans="1:21" ht="15.75" thickTop="1">
      <c r="A7" s="234" t="s">
        <v>11</v>
      </c>
      <c r="B7" s="203">
        <f>+D2*D3/G3</f>
        <v>2.0408163265306121E-2</v>
      </c>
      <c r="C7" s="237"/>
      <c r="D7" s="220">
        <f>+B7/(1+B7)</f>
        <v>1.9999999999999997E-2</v>
      </c>
      <c r="E7" s="188"/>
      <c r="F7" s="222">
        <f t="shared" ref="F7:F14" si="3">+$L$20/(D7+(1-D7)*$L$20)-$L$21/((1-D7)+D7*$L$21)</f>
        <v>0.10736158132294937</v>
      </c>
      <c r="G7" s="222">
        <f t="shared" ref="G7:G14" si="4">+EXP(-LN(D7+(1-D7)*$L$20)+(1-D7)*F7)</f>
        <v>5.1381524568809391</v>
      </c>
      <c r="H7" s="223">
        <f t="shared" ref="H7:H14" si="5">+G7*$K$4/$K$2</f>
        <v>0.48853645653755395</v>
      </c>
      <c r="I7" s="205" t="s">
        <v>15</v>
      </c>
      <c r="J7" s="205" t="s">
        <v>14</v>
      </c>
      <c r="K7" s="208" t="s">
        <v>56</v>
      </c>
      <c r="L7" s="3"/>
      <c r="N7" s="36">
        <f t="shared" si="0"/>
        <v>1.6418229036237214E-2</v>
      </c>
      <c r="O7" s="237">
        <f t="shared" si="1"/>
        <v>6.5011056221001865E-3</v>
      </c>
      <c r="P7" s="36">
        <f t="shared" si="2"/>
        <v>1.2657542927252421E-2</v>
      </c>
      <c r="Q7" s="35">
        <f t="shared" si="2"/>
        <v>6.5011056221001865E-3</v>
      </c>
      <c r="R7" s="36">
        <f>+N7</f>
        <v>1.6418229036237214E-2</v>
      </c>
      <c r="S7" s="35">
        <f>+O6</f>
        <v>8.1856953804303988E-3</v>
      </c>
    </row>
    <row r="8" spans="1:21">
      <c r="A8" s="235">
        <v>1</v>
      </c>
      <c r="B8" s="190">
        <v>1.6418229036237214E-2</v>
      </c>
      <c r="C8" s="190">
        <v>8.1856953804303988E-3</v>
      </c>
      <c r="D8" s="220">
        <f t="shared" ref="D8:E15" si="6">+B8/(1+B8)</f>
        <v>1.6153024972608863E-2</v>
      </c>
      <c r="E8" s="221">
        <f>+C8/(1+C8)</f>
        <v>8.1192338057738418E-3</v>
      </c>
      <c r="F8" s="222">
        <f t="shared" si="3"/>
        <v>0.12131135425154793</v>
      </c>
      <c r="G8" s="222">
        <f t="shared" si="4"/>
        <v>5.2865358368288424</v>
      </c>
      <c r="H8" s="223">
        <f t="shared" si="5"/>
        <v>0.50264477489851178</v>
      </c>
      <c r="I8" s="189">
        <f t="shared" ref="I8:I14" si="7">+B7*$G$3+C9*$G$2-B8*$G$3-C8*$G$2</f>
        <v>-2.5348264620639327E-7</v>
      </c>
      <c r="J8" s="189">
        <f>+E8-H8*D8</f>
        <v>2.0448681983809003E-10</v>
      </c>
      <c r="K8" s="216">
        <f>+B7*G3*D4/100-C8*G2</f>
        <v>3.6778025447326002E-7</v>
      </c>
      <c r="L8" s="3"/>
      <c r="N8" s="36">
        <f t="shared" si="0"/>
        <v>1.2657542927252421E-2</v>
      </c>
      <c r="O8" s="237">
        <f t="shared" si="1"/>
        <v>4.9133071956075766E-3</v>
      </c>
      <c r="P8" s="36">
        <f t="shared" si="2"/>
        <v>9.3102934478737458E-3</v>
      </c>
      <c r="Q8" s="35">
        <f t="shared" si="2"/>
        <v>4.9133071956075766E-3</v>
      </c>
      <c r="R8" s="36">
        <f>+N7</f>
        <v>1.6418229036237214E-2</v>
      </c>
      <c r="S8" s="35">
        <f>+O7</f>
        <v>6.5011056221001865E-3</v>
      </c>
    </row>
    <row r="9" spans="1:21">
      <c r="A9" s="235">
        <v>2</v>
      </c>
      <c r="B9" s="190">
        <v>1.2657542927252421E-2</v>
      </c>
      <c r="C9" s="190">
        <v>6.5011056221001865E-3</v>
      </c>
      <c r="D9" s="220">
        <f t="shared" si="6"/>
        <v>1.249933209470175E-2</v>
      </c>
      <c r="E9" s="221">
        <f t="shared" si="6"/>
        <v>6.4591142382123563E-3</v>
      </c>
      <c r="F9" s="222">
        <f t="shared" si="3"/>
        <v>0.13492178332391802</v>
      </c>
      <c r="G9" s="222">
        <f t="shared" si="4"/>
        <v>5.4349572313714445</v>
      </c>
      <c r="H9" s="223">
        <f t="shared" si="5"/>
        <v>0.51675670769394721</v>
      </c>
      <c r="I9" s="189">
        <f t="shared" si="7"/>
        <v>-1.2182686681683208E-7</v>
      </c>
      <c r="J9" s="189">
        <f t="shared" ref="J9:J14" si="8">+E9-H9*D9</f>
        <v>5.3658099144482385E-10</v>
      </c>
      <c r="K9" s="225"/>
      <c r="L9" s="3"/>
      <c r="N9" s="36">
        <f t="shared" si="0"/>
        <v>9.3102934478737458E-3</v>
      </c>
      <c r="O9" s="237">
        <f t="shared" si="1"/>
        <v>3.5000661907991443E-3</v>
      </c>
      <c r="P9" s="36">
        <f t="shared" si="2"/>
        <v>6.4787398010781941E-3</v>
      </c>
      <c r="Q9" s="35">
        <f t="shared" si="2"/>
        <v>3.5000661907991443E-3</v>
      </c>
      <c r="R9" s="36">
        <f>+N8</f>
        <v>1.2657542927252421E-2</v>
      </c>
      <c r="S9" s="35">
        <f>+O7</f>
        <v>6.5011056221001865E-3</v>
      </c>
    </row>
    <row r="10" spans="1:21">
      <c r="A10" s="235">
        <v>3</v>
      </c>
      <c r="B10" s="190">
        <v>9.3102934478737458E-3</v>
      </c>
      <c r="C10" s="190">
        <v>4.9133071956075766E-3</v>
      </c>
      <c r="D10" s="220">
        <f t="shared" si="6"/>
        <v>9.2244114702022314E-3</v>
      </c>
      <c r="E10" s="221">
        <f t="shared" si="6"/>
        <v>4.8892846382132694E-3</v>
      </c>
      <c r="F10" s="222">
        <f t="shared" si="3"/>
        <v>0.14743303189230006</v>
      </c>
      <c r="G10" s="222">
        <f t="shared" si="4"/>
        <v>5.5746370942755785</v>
      </c>
      <c r="H10" s="223">
        <f t="shared" si="5"/>
        <v>0.5300374940944077</v>
      </c>
      <c r="I10" s="189">
        <f t="shared" si="7"/>
        <v>-7.1496764064704621E-9</v>
      </c>
      <c r="J10" s="189">
        <f t="shared" si="8"/>
        <v>6.9805156707042348E-10</v>
      </c>
      <c r="K10" s="225"/>
      <c r="L10" s="3"/>
      <c r="N10" s="36">
        <f t="shared" si="0"/>
        <v>6.4787398010781941E-3</v>
      </c>
      <c r="O10" s="237">
        <f t="shared" si="1"/>
        <v>2.3045572766553914E-3</v>
      </c>
      <c r="P10" s="36">
        <f t="shared" si="2"/>
        <v>4.1841387633132507E-3</v>
      </c>
      <c r="Q10" s="35">
        <f t="shared" si="2"/>
        <v>2.3045572766553914E-3</v>
      </c>
      <c r="R10" s="36">
        <f>+N8</f>
        <v>1.2657542927252421E-2</v>
      </c>
      <c r="S10" s="35">
        <f>+O8</f>
        <v>4.9133071956075766E-3</v>
      </c>
    </row>
    <row r="11" spans="1:21">
      <c r="A11" s="235">
        <v>4</v>
      </c>
      <c r="B11" s="190">
        <v>6.4787398010781941E-3</v>
      </c>
      <c r="C11" s="190">
        <v>3.5000661907991443E-3</v>
      </c>
      <c r="D11" s="220">
        <f t="shared" si="6"/>
        <v>6.4370359202606314E-3</v>
      </c>
      <c r="E11" s="221">
        <f t="shared" si="6"/>
        <v>3.4878584553413115E-3</v>
      </c>
      <c r="F11" s="222">
        <f t="shared" si="3"/>
        <v>0.15832269824562573</v>
      </c>
      <c r="G11" s="222">
        <f t="shared" si="4"/>
        <v>5.6987925632418381</v>
      </c>
      <c r="H11" s="223">
        <f t="shared" si="5"/>
        <v>0.54184221833673851</v>
      </c>
      <c r="I11" s="189">
        <f t="shared" si="7"/>
        <v>7.2345830659514831E-8</v>
      </c>
      <c r="J11" s="189">
        <f t="shared" si="8"/>
        <v>6.3279402204297064E-10</v>
      </c>
      <c r="K11" s="225"/>
      <c r="L11" s="3"/>
      <c r="N11" s="36">
        <f t="shared" si="0"/>
        <v>4.1841387633132507E-3</v>
      </c>
      <c r="O11" s="237">
        <f t="shared" si="1"/>
        <v>1.3357551108890808E-3</v>
      </c>
      <c r="P11" s="36">
        <f t="shared" si="2"/>
        <v>2.3882412282740378E-3</v>
      </c>
      <c r="Q11" s="35">
        <f t="shared" si="2"/>
        <v>1.3357551108890808E-3</v>
      </c>
      <c r="R11" s="36">
        <f>+N9</f>
        <v>9.3102934478737458E-3</v>
      </c>
      <c r="S11" s="35">
        <f>+O8</f>
        <v>4.9133071956075766E-3</v>
      </c>
    </row>
    <row r="12" spans="1:21">
      <c r="A12" s="235">
        <v>5</v>
      </c>
      <c r="B12" s="190">
        <v>4.1841387633132507E-3</v>
      </c>
      <c r="C12" s="190">
        <v>2.3045572766553914E-3</v>
      </c>
      <c r="D12" s="220">
        <f t="shared" si="6"/>
        <v>4.1667046926932736E-3</v>
      </c>
      <c r="E12" s="221">
        <f t="shared" si="6"/>
        <v>2.2992585037396865E-3</v>
      </c>
      <c r="F12" s="222">
        <f t="shared" si="3"/>
        <v>0.16736152316107444</v>
      </c>
      <c r="G12" s="222">
        <f t="shared" si="4"/>
        <v>5.8037006617505904</v>
      </c>
      <c r="H12" s="223">
        <f t="shared" si="5"/>
        <v>0.55181689914616516</v>
      </c>
      <c r="I12" s="189">
        <f t="shared" si="7"/>
        <v>1.1515174669352035E-7</v>
      </c>
      <c r="J12" s="189">
        <f t="shared" si="8"/>
        <v>4.4055990930033651E-10</v>
      </c>
      <c r="K12" s="225"/>
      <c r="L12" s="30"/>
      <c r="N12" s="36">
        <f t="shared" si="0"/>
        <v>2.3882412282740378E-3</v>
      </c>
      <c r="O12" s="237">
        <f t="shared" si="1"/>
        <v>5.7751042847600342E-4</v>
      </c>
      <c r="P12" s="36">
        <f t="shared" si="2"/>
        <v>1.0204113139755369E-3</v>
      </c>
      <c r="Q12" s="35">
        <f t="shared" si="2"/>
        <v>5.7751042847600342E-4</v>
      </c>
      <c r="R12" s="36">
        <f>+N9</f>
        <v>9.3102934478737458E-3</v>
      </c>
      <c r="S12" s="35">
        <f>+O9</f>
        <v>3.5000661907991443E-3</v>
      </c>
    </row>
    <row r="13" spans="1:21" ht="15.75" thickBot="1">
      <c r="A13" s="235">
        <v>6</v>
      </c>
      <c r="B13" s="190">
        <v>2.3882412282740378E-3</v>
      </c>
      <c r="C13" s="190">
        <v>1.3357551108890808E-3</v>
      </c>
      <c r="D13" s="220">
        <f t="shared" si="6"/>
        <v>2.3825511214573027E-3</v>
      </c>
      <c r="E13" s="221">
        <f t="shared" si="6"/>
        <v>1.3339732493035344E-3</v>
      </c>
      <c r="F13" s="222">
        <f t="shared" si="3"/>
        <v>0.17457418176928186</v>
      </c>
      <c r="G13" s="222">
        <f t="shared" si="4"/>
        <v>5.8886375459477902</v>
      </c>
      <c r="H13" s="223">
        <f t="shared" si="5"/>
        <v>0.55989271331930657</v>
      </c>
      <c r="I13" s="189">
        <f t="shared" si="7"/>
        <v>1.2920095554536104E-7</v>
      </c>
      <c r="J13" s="189">
        <f t="shared" si="8"/>
        <v>2.3728884850950094E-10</v>
      </c>
      <c r="K13" s="209"/>
      <c r="N13" s="33">
        <f t="shared" si="0"/>
        <v>1.0204113139755369E-3</v>
      </c>
      <c r="O13" s="186">
        <f t="shared" si="1"/>
        <v>0</v>
      </c>
      <c r="P13" s="33">
        <f t="shared" si="2"/>
        <v>0</v>
      </c>
      <c r="Q13" s="34">
        <f t="shared" si="2"/>
        <v>0</v>
      </c>
      <c r="R13" s="36">
        <f>+N10</f>
        <v>6.4787398010781941E-3</v>
      </c>
      <c r="S13" s="35">
        <f>+O9</f>
        <v>3.5000661907991443E-3</v>
      </c>
    </row>
    <row r="14" spans="1:21" ht="16.5" thickTop="1" thickBot="1">
      <c r="A14" s="235">
        <v>7</v>
      </c>
      <c r="B14" s="190">
        <v>1.0204113139755369E-3</v>
      </c>
      <c r="C14" s="190">
        <v>5.7751042847600342E-4</v>
      </c>
      <c r="D14" s="220">
        <f t="shared" si="6"/>
        <v>1.0193711361350846E-3</v>
      </c>
      <c r="E14" s="221">
        <f t="shared" si="6"/>
        <v>5.7717710268012808E-4</v>
      </c>
      <c r="F14" s="222">
        <f t="shared" si="3"/>
        <v>0.18015131577050969</v>
      </c>
      <c r="G14" s="222">
        <f t="shared" si="4"/>
        <v>5.9550677231667493</v>
      </c>
      <c r="H14" s="223">
        <f t="shared" si="5"/>
        <v>0.56620890647590527</v>
      </c>
      <c r="I14" s="215">
        <f t="shared" si="7"/>
        <v>1.2477130870158781E-7</v>
      </c>
      <c r="J14" s="215">
        <f t="shared" si="8"/>
        <v>8.6395980647413495E-11</v>
      </c>
      <c r="K14" s="226"/>
      <c r="Q14" s="1"/>
      <c r="R14" s="36">
        <f>+N10</f>
        <v>6.4787398010781941E-3</v>
      </c>
      <c r="S14" s="35">
        <f>+O10</f>
        <v>2.3045572766553914E-3</v>
      </c>
    </row>
    <row r="15" spans="1:21" ht="16.5" thickTop="1" thickBot="1">
      <c r="A15" s="236" t="s">
        <v>9</v>
      </c>
      <c r="B15" s="193"/>
      <c r="C15" s="190">
        <v>0</v>
      </c>
      <c r="D15" s="211"/>
      <c r="E15" s="224">
        <f t="shared" si="6"/>
        <v>0</v>
      </c>
      <c r="F15" s="213"/>
      <c r="G15" s="213"/>
      <c r="H15" s="214"/>
      <c r="R15" s="36">
        <f>+N11</f>
        <v>4.1841387633132507E-3</v>
      </c>
      <c r="S15" s="35">
        <f>+O10</f>
        <v>2.3045572766553914E-3</v>
      </c>
    </row>
    <row r="16" spans="1:21" ht="19.5" thickTop="1" thickBot="1">
      <c r="B16" s="150" t="s">
        <v>111</v>
      </c>
      <c r="C16" s="219">
        <v>0</v>
      </c>
      <c r="D16" s="3"/>
      <c r="F16" s="3"/>
      <c r="G16" s="30"/>
      <c r="H16" s="30"/>
      <c r="N16" s="260" t="s">
        <v>113</v>
      </c>
      <c r="O16" s="262"/>
      <c r="R16" s="36">
        <f>+N11</f>
        <v>4.1841387633132507E-3</v>
      </c>
      <c r="S16" s="35">
        <f>+O11</f>
        <v>1.3357551108890808E-3</v>
      </c>
    </row>
    <row r="17" spans="1:19" ht="16.5" thickTop="1" thickBot="1">
      <c r="B17" s="218" t="s">
        <v>33</v>
      </c>
      <c r="C17" s="217">
        <f>+C15-C16</f>
        <v>0</v>
      </c>
      <c r="D17" s="3"/>
      <c r="N17" s="238" t="s">
        <v>114</v>
      </c>
      <c r="O17" s="243">
        <f>+G3/G2</f>
        <v>0.42220963292765551</v>
      </c>
      <c r="R17" s="36">
        <f>+N12</f>
        <v>2.3882412282740378E-3</v>
      </c>
      <c r="S17" s="35">
        <f>+O11</f>
        <v>1.3357551108890808E-3</v>
      </c>
    </row>
    <row r="18" spans="1:19" ht="16.5" thickTop="1" thickBot="1">
      <c r="H18" s="64" t="s">
        <v>37</v>
      </c>
      <c r="I18" s="65"/>
      <c r="J18" s="65"/>
      <c r="K18" s="66"/>
      <c r="L18" s="67" t="s">
        <v>38</v>
      </c>
      <c r="N18" s="239" t="s">
        <v>115</v>
      </c>
      <c r="O18" s="243">
        <f>+C8-G3*B7/G2</f>
        <v>-4.3082774054216226E-4</v>
      </c>
      <c r="R18" s="36">
        <f>+N12</f>
        <v>2.3882412282740378E-3</v>
      </c>
      <c r="S18" s="35">
        <f>+O12</f>
        <v>5.7751042847600342E-4</v>
      </c>
    </row>
    <row r="19" spans="1:19" ht="16.5" thickTop="1" thickBot="1">
      <c r="A19" s="146" t="s">
        <v>92</v>
      </c>
      <c r="B19" s="147"/>
      <c r="C19" s="269" t="s">
        <v>95</v>
      </c>
      <c r="D19" s="270"/>
      <c r="E19" s="270" t="s">
        <v>62</v>
      </c>
      <c r="F19" s="271"/>
      <c r="H19" s="68"/>
      <c r="I19" s="191" t="s">
        <v>39</v>
      </c>
      <c r="J19" s="191" t="s">
        <v>40</v>
      </c>
      <c r="K19" s="70" t="s">
        <v>41</v>
      </c>
      <c r="L19" s="71" t="s">
        <v>42</v>
      </c>
      <c r="N19" s="240" t="s">
        <v>2</v>
      </c>
      <c r="O19" s="70" t="s">
        <v>3</v>
      </c>
      <c r="R19" s="36">
        <f>+N13</f>
        <v>1.0204113139755369E-3</v>
      </c>
      <c r="S19" s="35">
        <f>+O12</f>
        <v>5.7751042847600342E-4</v>
      </c>
    </row>
    <row r="20" spans="1:19" ht="18.75" thickTop="1" thickBot="1">
      <c r="A20" s="160" t="s">
        <v>16</v>
      </c>
      <c r="B20" s="161"/>
      <c r="C20" s="266" t="s">
        <v>63</v>
      </c>
      <c r="D20" s="267"/>
      <c r="E20" s="267" t="s">
        <v>64</v>
      </c>
      <c r="F20" s="268"/>
      <c r="H20" s="68" t="s">
        <v>43</v>
      </c>
      <c r="I20" s="192">
        <v>8.1121999999999996</v>
      </c>
      <c r="J20" s="192">
        <v>1592.864</v>
      </c>
      <c r="K20" s="73">
        <v>226.184</v>
      </c>
      <c r="L20" s="74">
        <v>0.20022000000000001</v>
      </c>
      <c r="N20" s="241">
        <v>0</v>
      </c>
      <c r="O20" s="244">
        <f>+O17*N20+O18</f>
        <v>-4.3082774054216226E-4</v>
      </c>
      <c r="R20" s="33">
        <f>+N13</f>
        <v>1.0204113139755369E-3</v>
      </c>
      <c r="S20" s="34">
        <f>+O13</f>
        <v>0</v>
      </c>
    </row>
    <row r="21" spans="1:19" ht="16.5" thickTop="1" thickBot="1">
      <c r="A21" s="49" t="s">
        <v>93</v>
      </c>
      <c r="B21" s="246"/>
      <c r="C21" s="272" t="s">
        <v>116</v>
      </c>
      <c r="D21" s="273"/>
      <c r="E21" s="273" t="s">
        <v>117</v>
      </c>
      <c r="F21" s="274"/>
      <c r="H21" s="75" t="s">
        <v>44</v>
      </c>
      <c r="I21" s="76">
        <v>7.9668099999999997</v>
      </c>
      <c r="J21" s="76">
        <v>1668.21</v>
      </c>
      <c r="K21" s="77">
        <v>228</v>
      </c>
      <c r="L21" s="78">
        <v>0.81564000000000003</v>
      </c>
      <c r="N21" s="242">
        <v>2.5000000000000001E-2</v>
      </c>
      <c r="O21" s="245">
        <f>+O17*N21+O18</f>
        <v>1.0124413082649227E-2</v>
      </c>
    </row>
    <row r="22" spans="1:19" ht="18.75" thickTop="1" thickBot="1">
      <c r="A22" s="61" t="s">
        <v>94</v>
      </c>
      <c r="B22" s="104"/>
      <c r="C22" s="263" t="s">
        <v>118</v>
      </c>
      <c r="D22" s="264"/>
      <c r="E22" s="264" t="s">
        <v>62</v>
      </c>
      <c r="F22" s="265"/>
    </row>
    <row r="23" spans="1:19" ht="16.5" thickTop="1" thickBot="1"/>
    <row r="24" spans="1:19" ht="15.75" thickTop="1">
      <c r="A24" s="128" t="s">
        <v>77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/>
    </row>
    <row r="25" spans="1:19" ht="18">
      <c r="A25" s="131" t="s">
        <v>80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32"/>
    </row>
    <row r="26" spans="1:19">
      <c r="A26" s="131" t="s">
        <v>78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32"/>
    </row>
    <row r="27" spans="1:19">
      <c r="A27" s="131" t="s">
        <v>79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32"/>
    </row>
    <row r="28" spans="1:19" ht="15.75" thickBot="1">
      <c r="A28" s="133" t="s">
        <v>81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1:19" ht="15.75" thickTop="1"/>
  </sheetData>
  <mergeCells count="13">
    <mergeCell ref="C22:D22"/>
    <mergeCell ref="E22:F22"/>
    <mergeCell ref="C20:D20"/>
    <mergeCell ref="E20:F20"/>
    <mergeCell ref="C19:D19"/>
    <mergeCell ref="E19:F19"/>
    <mergeCell ref="C21:D21"/>
    <mergeCell ref="E21:F21"/>
    <mergeCell ref="N3:S3"/>
    <mergeCell ref="N4:O4"/>
    <mergeCell ref="P4:Q4"/>
    <mergeCell ref="R4:S4"/>
    <mergeCell ref="N16:O16"/>
  </mergeCells>
  <pageMargins left="0.7" right="0.7" top="0.75" bottom="0.75" header="0.3" footer="0.3"/>
  <pageSetup orientation="portrait" horizontalDpi="0" verticalDpi="0" r:id="rId1"/>
  <ignoredErrors>
    <ignoredError sqref="A15 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110" zoomScaleNormal="110" workbookViewId="0">
      <selection activeCell="M5" sqref="M5"/>
    </sheetView>
  </sheetViews>
  <sheetFormatPr defaultRowHeight="15"/>
  <cols>
    <col min="2" max="2" width="8.28515625" customWidth="1"/>
    <col min="3" max="3" width="9.5703125" bestFit="1" customWidth="1"/>
    <col min="4" max="4" width="9.5703125" customWidth="1"/>
    <col min="13" max="13" width="9" customWidth="1"/>
    <col min="14" max="14" width="10" customWidth="1"/>
  </cols>
  <sheetData>
    <row r="1" spans="1:21" ht="15.75" thickBot="1">
      <c r="A1" t="s">
        <v>112</v>
      </c>
    </row>
    <row r="2" spans="1:21" ht="19.5" thickTop="1" thickBot="1">
      <c r="B2" s="148"/>
      <c r="C2" s="165" t="s">
        <v>101</v>
      </c>
      <c r="D2" s="198"/>
      <c r="E2" s="28"/>
      <c r="F2" s="194" t="s">
        <v>12</v>
      </c>
      <c r="G2" s="195"/>
      <c r="H2" s="187"/>
      <c r="I2" s="148"/>
      <c r="J2" s="227" t="s">
        <v>73</v>
      </c>
      <c r="K2" s="228"/>
      <c r="L2" s="187"/>
    </row>
    <row r="3" spans="1:21" ht="19.5" thickTop="1" thickBot="1">
      <c r="B3" s="199"/>
      <c r="C3" s="200" t="s">
        <v>102</v>
      </c>
      <c r="D3" s="201"/>
      <c r="E3" s="29"/>
      <c r="F3" s="196" t="s">
        <v>13</v>
      </c>
      <c r="G3" s="197"/>
      <c r="H3" s="187"/>
      <c r="I3" s="199"/>
      <c r="J3" s="229" t="s">
        <v>100</v>
      </c>
      <c r="K3" s="230"/>
      <c r="L3" s="187"/>
      <c r="N3" s="275"/>
      <c r="O3" s="275"/>
      <c r="P3" s="275"/>
      <c r="Q3" s="275"/>
      <c r="R3" s="275"/>
      <c r="S3" s="275"/>
    </row>
    <row r="4" spans="1:21" ht="19.5" thickTop="1" thickBot="1">
      <c r="B4" s="169"/>
      <c r="C4" s="167" t="s">
        <v>110</v>
      </c>
      <c r="D4" s="202"/>
      <c r="I4" s="149"/>
      <c r="J4" s="231" t="s">
        <v>75</v>
      </c>
      <c r="K4" s="197"/>
      <c r="N4" s="275"/>
      <c r="O4" s="275"/>
      <c r="P4" s="275"/>
      <c r="Q4" s="275"/>
      <c r="R4" s="275"/>
      <c r="S4" s="275"/>
    </row>
    <row r="5" spans="1:21" ht="16.5" thickTop="1" thickBot="1">
      <c r="N5" s="37"/>
      <c r="O5" s="37"/>
      <c r="P5" s="37"/>
      <c r="Q5" s="37"/>
      <c r="R5" s="37"/>
      <c r="S5" s="37"/>
      <c r="T5" s="30"/>
      <c r="U5" s="30"/>
    </row>
    <row r="6" spans="1:21" ht="19.5" thickTop="1" thickBot="1">
      <c r="A6" s="232" t="s">
        <v>1</v>
      </c>
      <c r="B6" s="233" t="s">
        <v>2</v>
      </c>
      <c r="C6" s="233" t="s">
        <v>3</v>
      </c>
      <c r="D6" s="204" t="s">
        <v>51</v>
      </c>
      <c r="E6" s="205" t="s">
        <v>52</v>
      </c>
      <c r="F6" s="206" t="s">
        <v>53</v>
      </c>
      <c r="G6" s="207" t="s">
        <v>54</v>
      </c>
      <c r="H6" s="208" t="s">
        <v>55</v>
      </c>
      <c r="L6" s="30"/>
      <c r="N6" s="46"/>
      <c r="O6" s="46"/>
      <c r="P6" s="46"/>
      <c r="Q6" s="46"/>
      <c r="R6" s="46"/>
      <c r="S6" s="46"/>
    </row>
    <row r="7" spans="1:21" ht="15.75" thickTop="1">
      <c r="A7" s="234" t="s">
        <v>11</v>
      </c>
      <c r="B7" s="237"/>
      <c r="C7" s="237"/>
      <c r="D7" s="185"/>
      <c r="E7" s="188"/>
      <c r="F7" s="188"/>
      <c r="G7" s="188"/>
      <c r="H7" s="209"/>
      <c r="I7" s="205" t="s">
        <v>15</v>
      </c>
      <c r="J7" s="205" t="s">
        <v>14</v>
      </c>
      <c r="K7" s="208" t="s">
        <v>56</v>
      </c>
      <c r="L7" s="3"/>
      <c r="N7" s="46"/>
      <c r="O7" s="46"/>
      <c r="P7" s="46"/>
      <c r="Q7" s="46"/>
      <c r="R7" s="46"/>
      <c r="S7" s="46"/>
    </row>
    <row r="8" spans="1:21">
      <c r="A8" s="235">
        <v>1</v>
      </c>
      <c r="B8" s="237"/>
      <c r="C8" s="237"/>
      <c r="D8" s="185"/>
      <c r="E8" s="210"/>
      <c r="F8" s="188"/>
      <c r="G8" s="188"/>
      <c r="H8" s="209"/>
      <c r="I8" s="237"/>
      <c r="J8" s="237"/>
      <c r="K8" s="225"/>
      <c r="L8" s="3"/>
      <c r="N8" s="46"/>
      <c r="O8" s="46"/>
      <c r="P8" s="46"/>
      <c r="Q8" s="46"/>
      <c r="R8" s="46"/>
      <c r="S8" s="46"/>
    </row>
    <row r="9" spans="1:21">
      <c r="A9" s="235">
        <v>2</v>
      </c>
      <c r="B9" s="237"/>
      <c r="C9" s="237"/>
      <c r="D9" s="185"/>
      <c r="E9" s="210"/>
      <c r="F9" s="188"/>
      <c r="G9" s="188"/>
      <c r="H9" s="209"/>
      <c r="I9" s="237"/>
      <c r="J9" s="237"/>
      <c r="K9" s="225"/>
      <c r="L9" s="3"/>
      <c r="N9" s="46"/>
      <c r="O9" s="46"/>
      <c r="P9" s="46"/>
      <c r="Q9" s="46"/>
      <c r="R9" s="46"/>
      <c r="S9" s="46"/>
    </row>
    <row r="10" spans="1:21">
      <c r="A10" s="235">
        <v>3</v>
      </c>
      <c r="B10" s="237"/>
      <c r="C10" s="237"/>
      <c r="D10" s="185"/>
      <c r="E10" s="210"/>
      <c r="F10" s="188"/>
      <c r="G10" s="188"/>
      <c r="H10" s="209"/>
      <c r="I10" s="237"/>
      <c r="J10" s="237"/>
      <c r="K10" s="225"/>
      <c r="L10" s="3"/>
      <c r="N10" s="46"/>
      <c r="O10" s="46"/>
      <c r="P10" s="46"/>
      <c r="Q10" s="46"/>
      <c r="R10" s="46"/>
      <c r="S10" s="46"/>
    </row>
    <row r="11" spans="1:21">
      <c r="A11" s="235">
        <v>4</v>
      </c>
      <c r="B11" s="237"/>
      <c r="C11" s="237"/>
      <c r="D11" s="185"/>
      <c r="E11" s="210"/>
      <c r="F11" s="188"/>
      <c r="G11" s="188"/>
      <c r="H11" s="209"/>
      <c r="I11" s="237"/>
      <c r="J11" s="237"/>
      <c r="K11" s="225"/>
      <c r="L11" s="3"/>
      <c r="N11" s="46"/>
      <c r="O11" s="46"/>
      <c r="P11" s="46"/>
      <c r="Q11" s="46"/>
      <c r="R11" s="46"/>
      <c r="S11" s="46"/>
    </row>
    <row r="12" spans="1:21">
      <c r="A12" s="235">
        <v>5</v>
      </c>
      <c r="B12" s="237"/>
      <c r="C12" s="237"/>
      <c r="D12" s="185"/>
      <c r="E12" s="210"/>
      <c r="F12" s="188"/>
      <c r="G12" s="188"/>
      <c r="H12" s="209"/>
      <c r="I12" s="237"/>
      <c r="J12" s="237"/>
      <c r="K12" s="225"/>
      <c r="L12" s="30"/>
      <c r="N12" s="46"/>
      <c r="O12" s="46"/>
      <c r="P12" s="46"/>
      <c r="Q12" s="46"/>
      <c r="R12" s="46"/>
      <c r="S12" s="46"/>
    </row>
    <row r="13" spans="1:21">
      <c r="A13" s="235">
        <v>6</v>
      </c>
      <c r="B13" s="237"/>
      <c r="C13" s="237"/>
      <c r="D13" s="185"/>
      <c r="E13" s="210"/>
      <c r="F13" s="188"/>
      <c r="G13" s="188"/>
      <c r="H13" s="209"/>
      <c r="I13" s="237"/>
      <c r="J13" s="237"/>
      <c r="K13" s="209"/>
      <c r="N13" s="46"/>
      <c r="O13" s="46"/>
      <c r="P13" s="46"/>
      <c r="Q13" s="46"/>
      <c r="R13" s="46"/>
      <c r="S13" s="46"/>
    </row>
    <row r="14" spans="1:21" ht="15.75" thickBot="1">
      <c r="A14" s="235">
        <v>7</v>
      </c>
      <c r="B14" s="237"/>
      <c r="C14" s="237"/>
      <c r="D14" s="185"/>
      <c r="E14" s="210"/>
      <c r="F14" s="188"/>
      <c r="G14" s="188"/>
      <c r="H14" s="209"/>
      <c r="I14" s="256"/>
      <c r="J14" s="256"/>
      <c r="K14" s="226"/>
      <c r="N14" s="10"/>
      <c r="O14" s="10"/>
      <c r="P14" s="10"/>
      <c r="Q14" s="247"/>
      <c r="R14" s="46"/>
      <c r="S14" s="46"/>
    </row>
    <row r="15" spans="1:21" ht="16.5" thickTop="1" thickBot="1">
      <c r="A15" s="236" t="s">
        <v>9</v>
      </c>
      <c r="B15" s="193"/>
      <c r="C15" s="237"/>
      <c r="D15" s="211"/>
      <c r="E15" s="212"/>
      <c r="F15" s="213"/>
      <c r="G15" s="213"/>
      <c r="H15" s="214"/>
      <c r="N15" s="10"/>
      <c r="O15" s="10"/>
      <c r="P15" s="10"/>
      <c r="Q15" s="10"/>
      <c r="R15" s="46"/>
      <c r="S15" s="46"/>
    </row>
    <row r="16" spans="1:21" ht="19.5" thickTop="1" thickBot="1">
      <c r="B16" s="252" t="s">
        <v>111</v>
      </c>
      <c r="C16" s="253"/>
      <c r="D16" s="3"/>
      <c r="F16" s="3"/>
      <c r="G16" s="30"/>
      <c r="H16" s="30"/>
      <c r="N16" s="275"/>
      <c r="O16" s="275"/>
      <c r="P16" s="10"/>
      <c r="Q16" s="10"/>
      <c r="R16" s="46"/>
      <c r="S16" s="46"/>
    </row>
    <row r="17" spans="1:19" ht="16.5" thickTop="1" thickBot="1">
      <c r="B17" s="254" t="s">
        <v>33</v>
      </c>
      <c r="C17" s="255"/>
      <c r="D17" s="3"/>
      <c r="N17" s="11"/>
      <c r="O17" s="248"/>
      <c r="P17" s="10"/>
      <c r="Q17" s="10"/>
      <c r="R17" s="46"/>
      <c r="S17" s="46"/>
    </row>
    <row r="18" spans="1:19" ht="16.5" thickTop="1" thickBot="1">
      <c r="H18" s="64" t="s">
        <v>37</v>
      </c>
      <c r="I18" s="65"/>
      <c r="J18" s="65"/>
      <c r="K18" s="66"/>
      <c r="L18" s="67" t="s">
        <v>38</v>
      </c>
      <c r="N18" s="249"/>
      <c r="O18" s="248"/>
      <c r="P18" s="10"/>
      <c r="Q18" s="10"/>
      <c r="R18" s="46"/>
      <c r="S18" s="46"/>
    </row>
    <row r="19" spans="1:19" ht="16.5" thickTop="1" thickBot="1">
      <c r="A19" s="146" t="s">
        <v>92</v>
      </c>
      <c r="B19" s="147"/>
      <c r="C19" s="269" t="s">
        <v>95</v>
      </c>
      <c r="D19" s="270"/>
      <c r="E19" s="270" t="s">
        <v>62</v>
      </c>
      <c r="F19" s="271"/>
      <c r="H19" s="68"/>
      <c r="I19" s="191" t="s">
        <v>39</v>
      </c>
      <c r="J19" s="191" t="s">
        <v>40</v>
      </c>
      <c r="K19" s="70" t="s">
        <v>41</v>
      </c>
      <c r="L19" s="71" t="s">
        <v>42</v>
      </c>
      <c r="N19" s="250"/>
      <c r="O19" s="250"/>
      <c r="P19" s="10"/>
      <c r="Q19" s="10"/>
      <c r="R19" s="46"/>
      <c r="S19" s="46"/>
    </row>
    <row r="20" spans="1:19" ht="18.75" thickTop="1" thickBot="1">
      <c r="A20" s="160" t="s">
        <v>16</v>
      </c>
      <c r="B20" s="161"/>
      <c r="C20" s="266" t="s">
        <v>63</v>
      </c>
      <c r="D20" s="267"/>
      <c r="E20" s="267" t="s">
        <v>64</v>
      </c>
      <c r="F20" s="268"/>
      <c r="H20" s="68" t="s">
        <v>43</v>
      </c>
      <c r="I20" s="192">
        <v>8.1121999999999996</v>
      </c>
      <c r="J20" s="192">
        <v>1592.864</v>
      </c>
      <c r="K20" s="73">
        <v>226.184</v>
      </c>
      <c r="L20" s="74">
        <v>0.20022000000000001</v>
      </c>
      <c r="N20" s="251"/>
      <c r="O20" s="105"/>
      <c r="P20" s="10"/>
      <c r="Q20" s="10"/>
      <c r="R20" s="46"/>
      <c r="S20" s="46"/>
    </row>
    <row r="21" spans="1:19" ht="16.5" thickTop="1" thickBot="1">
      <c r="A21" s="49" t="s">
        <v>93</v>
      </c>
      <c r="B21" s="246"/>
      <c r="C21" s="272" t="s">
        <v>116</v>
      </c>
      <c r="D21" s="273"/>
      <c r="E21" s="273" t="s">
        <v>117</v>
      </c>
      <c r="F21" s="274"/>
      <c r="H21" s="75" t="s">
        <v>44</v>
      </c>
      <c r="I21" s="76">
        <v>7.9668099999999997</v>
      </c>
      <c r="J21" s="76">
        <v>1668.21</v>
      </c>
      <c r="K21" s="77">
        <v>228</v>
      </c>
      <c r="L21" s="78">
        <v>0.81564000000000003</v>
      </c>
      <c r="N21" s="251"/>
      <c r="O21" s="105"/>
      <c r="P21" s="10"/>
      <c r="Q21" s="10"/>
      <c r="R21" s="10"/>
      <c r="S21" s="10"/>
    </row>
    <row r="22" spans="1:19" ht="18.75" thickTop="1" thickBot="1">
      <c r="A22" s="61" t="s">
        <v>94</v>
      </c>
      <c r="B22" s="104"/>
      <c r="C22" s="263" t="s">
        <v>118</v>
      </c>
      <c r="D22" s="264"/>
      <c r="E22" s="264" t="s">
        <v>62</v>
      </c>
      <c r="F22" s="265"/>
    </row>
    <row r="23" spans="1:19" ht="15.75" thickTop="1"/>
    <row r="24" spans="1:19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9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3">
    <mergeCell ref="C20:D20"/>
    <mergeCell ref="E20:F20"/>
    <mergeCell ref="C21:D21"/>
    <mergeCell ref="E21:F21"/>
    <mergeCell ref="C22:D22"/>
    <mergeCell ref="E22:F22"/>
    <mergeCell ref="C19:D19"/>
    <mergeCell ref="E19:F19"/>
    <mergeCell ref="N3:S3"/>
    <mergeCell ref="N4:O4"/>
    <mergeCell ref="P4:Q4"/>
    <mergeCell ref="R4:S4"/>
    <mergeCell ref="N16:O16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30" zoomScaleNormal="130" workbookViewId="0">
      <selection activeCell="J30" sqref="J30"/>
    </sheetView>
  </sheetViews>
  <sheetFormatPr defaultRowHeight="15"/>
  <cols>
    <col min="1" max="1" width="8.28515625" customWidth="1"/>
    <col min="2" max="2" width="9.5703125" bestFit="1" customWidth="1"/>
    <col min="3" max="3" width="9.5703125" customWidth="1"/>
  </cols>
  <sheetData>
    <row r="1" spans="1:14" ht="15.75" thickBot="1">
      <c r="G1" s="13"/>
      <c r="I1" s="13"/>
      <c r="J1" s="37"/>
    </row>
    <row r="2" spans="1:14" ht="19.5" thickTop="1" thickBot="1">
      <c r="A2" s="60" t="s">
        <v>2</v>
      </c>
      <c r="B2" s="109" t="s">
        <v>3</v>
      </c>
      <c r="C2" s="53" t="s">
        <v>51</v>
      </c>
      <c r="D2" s="112" t="s">
        <v>52</v>
      </c>
      <c r="E2" s="91" t="s">
        <v>53</v>
      </c>
      <c r="F2" s="92" t="s">
        <v>54</v>
      </c>
      <c r="G2" s="54" t="s">
        <v>55</v>
      </c>
      <c r="H2" s="55" t="s">
        <v>14</v>
      </c>
      <c r="I2" s="37"/>
      <c r="J2" s="64" t="s">
        <v>37</v>
      </c>
      <c r="K2" s="65"/>
      <c r="L2" s="65"/>
      <c r="M2" s="66"/>
      <c r="N2" s="67" t="s">
        <v>38</v>
      </c>
    </row>
    <row r="3" spans="1:14" ht="15.75" thickTop="1">
      <c r="A3" s="113">
        <v>2.5000000000000001E-2</v>
      </c>
      <c r="B3" s="56">
        <f>+D3/(1-D3)</f>
        <v>1.1678933829163256E-2</v>
      </c>
      <c r="C3" s="97">
        <f>+A3/(1+A3)</f>
        <v>2.4390243902439029E-2</v>
      </c>
      <c r="D3" s="110">
        <v>1.1544110921593445E-2</v>
      </c>
      <c r="E3" s="54">
        <f t="shared" ref="E3:E18" si="0">+$N$4/(C3+(1-C3)*$N$4)-$N$5/((1-C3)+C3*$N$5)</f>
        <v>9.1898199326371777E-2</v>
      </c>
      <c r="F3" s="54">
        <f t="shared" ref="F3:F18" si="1">+EXP(-LN(C3+(1-C3)*$N$4)+(1-C3)*E3)</f>
        <v>4.9779938531138175</v>
      </c>
      <c r="G3" s="54">
        <f t="shared" ref="G3:G28" si="2">+F3*$L$10/$L$9</f>
        <v>0.47330854778533127</v>
      </c>
      <c r="H3" s="98">
        <f>+D3-G3*C3</f>
        <v>0</v>
      </c>
      <c r="I3" s="46"/>
      <c r="J3" s="68"/>
      <c r="K3" s="69" t="s">
        <v>39</v>
      </c>
      <c r="L3" s="69" t="s">
        <v>40</v>
      </c>
      <c r="M3" s="70" t="s">
        <v>41</v>
      </c>
      <c r="N3" s="71" t="s">
        <v>42</v>
      </c>
    </row>
    <row r="4" spans="1:14">
      <c r="A4" s="114">
        <v>2.4E-2</v>
      </c>
      <c r="B4" s="56">
        <f t="shared" ref="B4:B18" si="3">+D4/(1-D4)</f>
        <v>1.1295004006504827E-2</v>
      </c>
      <c r="C4" s="93">
        <f t="shared" ref="C4:C18" si="4">+A4/(1+A4)</f>
        <v>2.34375E-2</v>
      </c>
      <c r="D4" s="110">
        <v>1.1168851780891598E-2</v>
      </c>
      <c r="E4" s="87">
        <f t="shared" si="0"/>
        <v>9.5213739704301359E-2</v>
      </c>
      <c r="F4" s="87">
        <f t="shared" si="1"/>
        <v>5.011956012476098</v>
      </c>
      <c r="G4" s="87">
        <f t="shared" si="2"/>
        <v>0.4765376759847082</v>
      </c>
      <c r="H4" s="56">
        <f>+D4-G4*C4</f>
        <v>0</v>
      </c>
      <c r="I4" s="46"/>
      <c r="J4" s="68" t="s">
        <v>43</v>
      </c>
      <c r="K4" s="72">
        <v>8.1121999999999996</v>
      </c>
      <c r="L4" s="72">
        <v>1592.864</v>
      </c>
      <c r="M4" s="73">
        <v>226.184</v>
      </c>
      <c r="N4" s="74">
        <v>0.20022000000000001</v>
      </c>
    </row>
    <row r="5" spans="1:14" ht="15.75" thickBot="1">
      <c r="A5" s="114">
        <v>2.3E-2</v>
      </c>
      <c r="B5" s="56">
        <f t="shared" si="3"/>
        <v>1.0905259468598334E-2</v>
      </c>
      <c r="C5" s="93">
        <f t="shared" si="4"/>
        <v>2.2482893450635387E-2</v>
      </c>
      <c r="D5" s="110">
        <v>1.0787617698547629E-2</v>
      </c>
      <c r="E5" s="87">
        <f t="shared" si="0"/>
        <v>9.8557922983198543E-2</v>
      </c>
      <c r="F5" s="87">
        <f t="shared" si="1"/>
        <v>5.0464195378795296</v>
      </c>
      <c r="G5" s="87">
        <f t="shared" si="2"/>
        <v>0.47981447415714013</v>
      </c>
      <c r="H5" s="56">
        <f t="shared" ref="H5:H18" si="5">+D5-G5*C5</f>
        <v>0</v>
      </c>
      <c r="I5" s="46"/>
      <c r="J5" s="75" t="s">
        <v>44</v>
      </c>
      <c r="K5" s="76">
        <v>7.9668099999999997</v>
      </c>
      <c r="L5" s="76">
        <v>1668.21</v>
      </c>
      <c r="M5" s="77">
        <v>228</v>
      </c>
      <c r="N5" s="78">
        <v>0.81564000000000003</v>
      </c>
    </row>
    <row r="6" spans="1:14" ht="15.75" thickTop="1">
      <c r="A6" s="114">
        <v>2.1999999999999999E-2</v>
      </c>
      <c r="B6" s="56">
        <f t="shared" si="3"/>
        <v>1.0509575071549093E-2</v>
      </c>
      <c r="C6" s="93">
        <f t="shared" si="4"/>
        <v>2.1526418786692758E-2</v>
      </c>
      <c r="D6" s="110">
        <v>1.0400272625625505E-2</v>
      </c>
      <c r="E6" s="87">
        <f t="shared" si="0"/>
        <v>0.10193113327796866</v>
      </c>
      <c r="F6" s="87">
        <f t="shared" si="1"/>
        <v>5.0813948954818926</v>
      </c>
      <c r="G6" s="87">
        <f t="shared" si="2"/>
        <v>0.48313993742678485</v>
      </c>
      <c r="H6" s="56">
        <f t="shared" si="5"/>
        <v>0</v>
      </c>
      <c r="I6" s="46"/>
    </row>
    <row r="7" spans="1:14" ht="15.75" thickBot="1">
      <c r="A7" s="114">
        <v>2.1000000000000001E-2</v>
      </c>
      <c r="B7" s="56">
        <f t="shared" si="3"/>
        <v>1.0107822339936319E-2</v>
      </c>
      <c r="C7" s="93">
        <f t="shared" si="4"/>
        <v>2.0568070519098924E-2</v>
      </c>
      <c r="D7" s="110">
        <v>1.0006676630343613E-2</v>
      </c>
      <c r="E7" s="87">
        <f t="shared" si="0"/>
        <v>0.10533376164063402</v>
      </c>
      <c r="F7" s="87">
        <f t="shared" si="1"/>
        <v>5.116892832059782</v>
      </c>
      <c r="G7" s="87">
        <f t="shared" si="2"/>
        <v>0.48651508759908713</v>
      </c>
      <c r="H7" s="56">
        <f t="shared" si="5"/>
        <v>0</v>
      </c>
      <c r="I7" s="46"/>
    </row>
    <row r="8" spans="1:14" ht="18" thickTop="1">
      <c r="A8" s="114">
        <v>0.02</v>
      </c>
      <c r="B8" s="56">
        <f t="shared" si="3"/>
        <v>9.6998693622533712E-3</v>
      </c>
      <c r="C8" s="93">
        <f t="shared" si="4"/>
        <v>1.9607843137254902E-2</v>
      </c>
      <c r="D8" s="110">
        <v>9.6066857653254942E-3</v>
      </c>
      <c r="E8" s="87">
        <f t="shared" si="0"/>
        <v>0.10876620621780542</v>
      </c>
      <c r="F8" s="87">
        <f t="shared" si="1"/>
        <v>5.1529243841674175</v>
      </c>
      <c r="G8" s="87">
        <f t="shared" si="2"/>
        <v>0.48994097403160025</v>
      </c>
      <c r="H8" s="56">
        <f t="shared" si="5"/>
        <v>0</v>
      </c>
      <c r="I8" s="37"/>
      <c r="J8" s="83"/>
      <c r="K8" s="84" t="s">
        <v>35</v>
      </c>
      <c r="L8" s="88">
        <v>30</v>
      </c>
    </row>
    <row r="9" spans="1:14">
      <c r="A9" s="114">
        <v>1.9E-2</v>
      </c>
      <c r="B9" s="56">
        <f t="shared" si="3"/>
        <v>9.2855806825990813E-3</v>
      </c>
      <c r="C9" s="93">
        <f t="shared" si="4"/>
        <v>1.8645731108930325E-2</v>
      </c>
      <c r="D9" s="110">
        <v>9.2001519295649373E-3</v>
      </c>
      <c r="E9" s="87">
        <f t="shared" si="0"/>
        <v>0.1122288724124616</v>
      </c>
      <c r="F9" s="87">
        <f t="shared" si="1"/>
        <v>5.1895008876471396</v>
      </c>
      <c r="G9" s="87">
        <f t="shared" si="2"/>
        <v>0.49341867453824584</v>
      </c>
      <c r="H9" s="56">
        <f t="shared" si="5"/>
        <v>0</v>
      </c>
      <c r="I9" s="10"/>
      <c r="J9" s="89"/>
      <c r="K9" s="96" t="s">
        <v>34</v>
      </c>
      <c r="L9" s="108">
        <v>825</v>
      </c>
    </row>
    <row r="10" spans="1:14" ht="18.75" thickBot="1">
      <c r="A10" s="114">
        <v>1.7999999999999999E-2</v>
      </c>
      <c r="B10" s="56">
        <f t="shared" si="3"/>
        <v>8.8648171884704672E-3</v>
      </c>
      <c r="C10" s="93">
        <f t="shared" si="4"/>
        <v>1.768172888015717E-2</v>
      </c>
      <c r="D10" s="110">
        <v>8.7869227248653196E-3</v>
      </c>
      <c r="E10" s="87">
        <f t="shared" si="0"/>
        <v>0.11572217305017973</v>
      </c>
      <c r="F10" s="87">
        <f t="shared" si="1"/>
        <v>5.2266339875071859</v>
      </c>
      <c r="G10" s="87">
        <f t="shared" si="2"/>
        <v>0.49694929632849422</v>
      </c>
      <c r="H10" s="56">
        <f t="shared" si="5"/>
        <v>0</v>
      </c>
      <c r="J10" s="85"/>
      <c r="K10" s="86" t="s">
        <v>45</v>
      </c>
      <c r="L10" s="90">
        <f>10^(K4-L4/(M4+L8))</f>
        <v>78.441147868964691</v>
      </c>
    </row>
    <row r="11" spans="1:14" ht="15.75" thickTop="1">
      <c r="A11" s="114">
        <v>1.7000000000000001E-2</v>
      </c>
      <c r="B11" s="56">
        <f t="shared" si="3"/>
        <v>8.4374359945003884E-3</v>
      </c>
      <c r="C11" s="93">
        <f t="shared" si="4"/>
        <v>1.6715830875122913E-2</v>
      </c>
      <c r="D11" s="110">
        <v>8.3668413065006476E-3</v>
      </c>
      <c r="E11" s="87">
        <f t="shared" si="0"/>
        <v>0.11924652854995421</v>
      </c>
      <c r="F11" s="87">
        <f t="shared" si="1"/>
        <v>5.2643356481829722</v>
      </c>
      <c r="G11" s="87">
        <f t="shared" si="2"/>
        <v>0.50053397698300928</v>
      </c>
      <c r="H11" s="56">
        <f t="shared" si="5"/>
        <v>0</v>
      </c>
    </row>
    <row r="12" spans="1:14">
      <c r="A12" s="114">
        <v>1.6E-2</v>
      </c>
      <c r="B12" s="56">
        <f t="shared" si="3"/>
        <v>8.0032903219770281E-3</v>
      </c>
      <c r="C12" s="93">
        <f t="shared" si="4"/>
        <v>1.5748031496062992E-2</v>
      </c>
      <c r="D12" s="110">
        <v>7.9397462278328595E-3</v>
      </c>
      <c r="E12" s="87">
        <f t="shared" si="0"/>
        <v>0.12280236709975667</v>
      </c>
      <c r="F12" s="87">
        <f t="shared" si="1"/>
        <v>5.3026181641990267</v>
      </c>
      <c r="G12" s="87">
        <f t="shared" si="2"/>
        <v>0.50417388546738662</v>
      </c>
      <c r="H12" s="56">
        <f t="shared" si="5"/>
        <v>0</v>
      </c>
    </row>
    <row r="13" spans="1:14">
      <c r="A13" s="114">
        <v>1.4999999999999999E-2</v>
      </c>
      <c r="B13" s="56">
        <f t="shared" si="3"/>
        <v>7.5622293739749796E-3</v>
      </c>
      <c r="C13" s="93">
        <f t="shared" si="4"/>
        <v>1.477832512315271E-2</v>
      </c>
      <c r="D13" s="110">
        <v>7.5054712786063772E-3</v>
      </c>
      <c r="E13" s="87">
        <f t="shared" si="0"/>
        <v>0.12639012483699086</v>
      </c>
      <c r="F13" s="87">
        <f t="shared" si="1"/>
        <v>5.3414941712495763</v>
      </c>
      <c r="G13" s="87">
        <f t="shared" si="2"/>
        <v>0.50787022318569819</v>
      </c>
      <c r="H13" s="56">
        <f t="shared" si="5"/>
        <v>0</v>
      </c>
    </row>
    <row r="14" spans="1:14">
      <c r="A14" s="114">
        <v>1.4E-2</v>
      </c>
      <c r="B14" s="56">
        <f t="shared" si="3"/>
        <v>7.1140982059200017E-3</v>
      </c>
      <c r="C14" s="93">
        <f t="shared" si="4"/>
        <v>1.3806706114398421E-2</v>
      </c>
      <c r="D14" s="110">
        <v>7.063845316626096E-3</v>
      </c>
      <c r="E14" s="87">
        <f t="shared" si="0"/>
        <v>0.13001024603400158</v>
      </c>
      <c r="F14" s="87">
        <f t="shared" si="1"/>
        <v>5.3809766577166247</v>
      </c>
      <c r="G14" s="87">
        <f t="shared" si="2"/>
        <v>0.51162422507563299</v>
      </c>
      <c r="H14" s="56">
        <f t="shared" si="5"/>
        <v>0</v>
      </c>
    </row>
    <row r="15" spans="1:14">
      <c r="A15" s="114">
        <v>1.2999999999999999E-2</v>
      </c>
      <c r="B15" s="56">
        <f t="shared" si="3"/>
        <v>6.6587375914019236E-3</v>
      </c>
      <c r="C15" s="93">
        <f t="shared" si="4"/>
        <v>1.2833168805528134E-2</v>
      </c>
      <c r="D15" s="110">
        <v>6.6146920925099781E-3</v>
      </c>
      <c r="E15" s="87">
        <f t="shared" si="0"/>
        <v>0.13366318328880034</v>
      </c>
      <c r="F15" s="87">
        <f t="shared" si="1"/>
        <v>5.4210789766453926</v>
      </c>
      <c r="G15" s="87">
        <f t="shared" si="2"/>
        <v>0.51543716074712365</v>
      </c>
      <c r="H15" s="56">
        <f t="shared" si="5"/>
        <v>0</v>
      </c>
    </row>
    <row r="16" spans="1:14">
      <c r="A16" s="114">
        <v>1.2E-2</v>
      </c>
      <c r="B16" s="56">
        <f t="shared" si="3"/>
        <v>6.1959838830419126E-3</v>
      </c>
      <c r="C16" s="93">
        <f t="shared" si="4"/>
        <v>1.1857707509881424E-2</v>
      </c>
      <c r="D16" s="110">
        <v>6.1578300671910856E-3</v>
      </c>
      <c r="E16" s="87">
        <f t="shared" si="0"/>
        <v>0.13734939772118981</v>
      </c>
      <c r="F16" s="87">
        <f t="shared" si="1"/>
        <v>5.461814858198025</v>
      </c>
      <c r="G16" s="87">
        <f t="shared" si="2"/>
        <v>0.51931033566644813</v>
      </c>
      <c r="H16" s="56">
        <f t="shared" si="5"/>
        <v>0</v>
      </c>
    </row>
    <row r="17" spans="1:8">
      <c r="A17" s="114">
        <v>1.0999999999999999E-2</v>
      </c>
      <c r="B17" s="56">
        <f t="shared" si="3"/>
        <v>5.7256688682115952E-3</v>
      </c>
      <c r="C17" s="93">
        <f t="shared" si="4"/>
        <v>1.0880316518298714E-2</v>
      </c>
      <c r="D17" s="110">
        <v>5.6930722218266026E-3</v>
      </c>
      <c r="E17" s="87">
        <f t="shared" si="0"/>
        <v>0.14106935917445229</v>
      </c>
      <c r="F17" s="87">
        <f t="shared" si="1"/>
        <v>5.503198422607424</v>
      </c>
      <c r="G17" s="87">
        <f t="shared" si="2"/>
        <v>0.52324509238788142</v>
      </c>
      <c r="H17" s="56">
        <f t="shared" si="5"/>
        <v>0</v>
      </c>
    </row>
    <row r="18" spans="1:8">
      <c r="A18" s="114">
        <v>0.01</v>
      </c>
      <c r="B18" s="56">
        <f t="shared" si="3"/>
        <v>5.2476196193928107E-3</v>
      </c>
      <c r="C18" s="93">
        <f t="shared" si="4"/>
        <v>9.9009900990099011E-3</v>
      </c>
      <c r="D18" s="110">
        <v>5.2202258597535064E-3</v>
      </c>
      <c r="E18" s="87">
        <f t="shared" si="0"/>
        <v>0.14482354642279838</v>
      </c>
      <c r="F18" s="87">
        <f t="shared" si="1"/>
        <v>5.5452441936543773</v>
      </c>
      <c r="G18" s="87">
        <f t="shared" si="2"/>
        <v>0.52724281183510413</v>
      </c>
      <c r="H18" s="56">
        <f t="shared" si="5"/>
        <v>0</v>
      </c>
    </row>
    <row r="19" spans="1:8">
      <c r="A19" s="114">
        <v>8.9999999999999993E-3</v>
      </c>
      <c r="B19" s="56">
        <f t="shared" ref="B19:B28" si="6">+D19/(1-D19)</f>
        <v>4.7616583389570935E-3</v>
      </c>
      <c r="C19" s="93">
        <f t="shared" ref="C19:C28" si="7">+A19/(1+A19)</f>
        <v>8.9197224975222991E-3</v>
      </c>
      <c r="D19" s="110">
        <v>4.7390924001110167E-3</v>
      </c>
      <c r="E19" s="87">
        <f t="shared" ref="E19:E28" si="8">+$N$4/(C19+(1-C19)*$N$4)-$N$5/((1-C19)+C19*$N$5)</f>
        <v>0.14861244738476509</v>
      </c>
      <c r="F19" s="87">
        <f t="shared" ref="F19:F28" si="9">+EXP(-LN(C19+(1-C19)*$N$4)+(1-C19)*E19)</f>
        <v>5.587967112692211</v>
      </c>
      <c r="G19" s="87">
        <f t="shared" si="2"/>
        <v>0.53130491463466833</v>
      </c>
      <c r="H19" s="56">
        <f t="shared" ref="H19:H28" si="10">+D19-G19*C19</f>
        <v>0</v>
      </c>
    </row>
    <row r="20" spans="1:8">
      <c r="A20" s="114">
        <v>8.0000000000000002E-3</v>
      </c>
      <c r="B20" s="56">
        <f t="shared" si="6"/>
        <v>4.2676021981343567E-3</v>
      </c>
      <c r="C20" s="93">
        <f t="shared" si="7"/>
        <v>7.9365079365079361E-3</v>
      </c>
      <c r="D20" s="110">
        <v>4.2494671627297913E-3</v>
      </c>
      <c r="E20" s="87">
        <f t="shared" si="8"/>
        <v>0.15243655934275957</v>
      </c>
      <c r="F20" s="87">
        <f t="shared" si="9"/>
        <v>5.6313825532445261</v>
      </c>
      <c r="G20" s="87">
        <f t="shared" si="2"/>
        <v>0.53543286250395372</v>
      </c>
      <c r="H20" s="56">
        <f t="shared" si="10"/>
        <v>0</v>
      </c>
    </row>
    <row r="21" spans="1:8">
      <c r="A21" s="114">
        <v>7.0000000000000001E-3</v>
      </c>
      <c r="B21" s="56">
        <f t="shared" si="6"/>
        <v>3.7652631699298224E-3</v>
      </c>
      <c r="C21" s="93">
        <f t="shared" si="7"/>
        <v>6.9513406156901693E-3</v>
      </c>
      <c r="D21" s="110">
        <v>3.7511391438661409E-3</v>
      </c>
      <c r="E21" s="87">
        <f t="shared" si="8"/>
        <v>0.15629638916896416</v>
      </c>
      <c r="F21" s="87">
        <f t="shared" si="9"/>
        <v>5.675506336202953</v>
      </c>
      <c r="G21" s="87">
        <f t="shared" si="2"/>
        <v>0.53962815969617195</v>
      </c>
      <c r="H21" s="56">
        <f t="shared" si="10"/>
        <v>0</v>
      </c>
    </row>
    <row r="22" spans="1:8">
      <c r="A22" s="114">
        <v>6.0000000000000001E-3</v>
      </c>
      <c r="B22" s="56">
        <f t="shared" si="6"/>
        <v>3.2544478557374628E-3</v>
      </c>
      <c r="C22" s="93">
        <f t="shared" si="7"/>
        <v>5.9642147117296221E-3</v>
      </c>
      <c r="D22" s="110">
        <v>3.2438907823366409E-3</v>
      </c>
      <c r="E22" s="87">
        <f t="shared" si="8"/>
        <v>0.16019245355780865</v>
      </c>
      <c r="F22" s="87">
        <f t="shared" si="9"/>
        <v>5.7203547456531911</v>
      </c>
      <c r="G22" s="87">
        <f t="shared" si="2"/>
        <v>0.5438923545051102</v>
      </c>
      <c r="H22" s="56">
        <f t="shared" si="10"/>
        <v>0</v>
      </c>
    </row>
    <row r="23" spans="1:8">
      <c r="A23" s="114">
        <v>5.0000000000000001E-3</v>
      </c>
      <c r="B23" s="56">
        <f t="shared" si="6"/>
        <v>2.7349573053870239E-3</v>
      </c>
      <c r="C23" s="93">
        <f t="shared" si="7"/>
        <v>4.9751243781094535E-3</v>
      </c>
      <c r="D23" s="110">
        <v>2.7274977155843602E-3</v>
      </c>
      <c r="E23" s="87">
        <f t="shared" si="8"/>
        <v>0.16412527926524478</v>
      </c>
      <c r="F23" s="87">
        <f t="shared" si="9"/>
        <v>5.7659445453592655</v>
      </c>
      <c r="G23" s="87">
        <f t="shared" si="2"/>
        <v>0.54822704083245644</v>
      </c>
      <c r="H23" s="56">
        <f t="shared" si="10"/>
        <v>0</v>
      </c>
    </row>
    <row r="24" spans="1:8">
      <c r="A24" s="114">
        <v>4.0000000000000001E-3</v>
      </c>
      <c r="B24" s="56">
        <f t="shared" si="6"/>
        <v>2.206586830350112E-3</v>
      </c>
      <c r="C24" s="93">
        <f t="shared" si="7"/>
        <v>3.9840637450199202E-3</v>
      </c>
      <c r="D24" s="110">
        <v>2.2017285251824384E-3</v>
      </c>
      <c r="E24" s="87">
        <f t="shared" si="8"/>
        <v>0.16809540335504602</v>
      </c>
      <c r="F24" s="87">
        <f t="shared" si="9"/>
        <v>5.8122929959373408</v>
      </c>
      <c r="G24" s="87">
        <f t="shared" si="2"/>
        <v>0.55263385982068935</v>
      </c>
      <c r="H24" s="56">
        <f t="shared" si="10"/>
        <v>4.0896105946153227E-16</v>
      </c>
    </row>
    <row r="25" spans="1:8">
      <c r="A25" s="114">
        <v>3.0000000000000001E-3</v>
      </c>
      <c r="B25" s="56">
        <f t="shared" si="6"/>
        <v>1.6691258098154975E-3</v>
      </c>
      <c r="C25" s="93">
        <f t="shared" si="7"/>
        <v>2.9910269192422734E-3</v>
      </c>
      <c r="D25" s="110">
        <v>1.66634447125049E-3</v>
      </c>
      <c r="E25" s="87">
        <f t="shared" si="8"/>
        <v>0.1721033734523808</v>
      </c>
      <c r="F25" s="87">
        <f t="shared" si="9"/>
        <v>5.859417872752279</v>
      </c>
      <c r="G25" s="87">
        <f t="shared" si="2"/>
        <v>0.55711450155468611</v>
      </c>
      <c r="H25" s="56">
        <f t="shared" si="10"/>
        <v>1.8236280541206185E-16</v>
      </c>
    </row>
    <row r="26" spans="1:8">
      <c r="A26" s="114">
        <v>2E-3</v>
      </c>
      <c r="B26" s="56">
        <f t="shared" si="6"/>
        <v>1.1223574893405267E-3</v>
      </c>
      <c r="C26" s="93">
        <f t="shared" si="7"/>
        <v>1.996007984031936E-3</v>
      </c>
      <c r="D26" s="110">
        <v>1.1210992152400083E-3</v>
      </c>
      <c r="E26" s="87">
        <f t="shared" si="8"/>
        <v>0.17614974800490979</v>
      </c>
      <c r="F26" s="87">
        <f t="shared" si="9"/>
        <v>5.9073374845718876</v>
      </c>
      <c r="G26" s="87">
        <f t="shared" si="2"/>
        <v>0.56167070683537135</v>
      </c>
      <c r="H26" s="56">
        <f t="shared" si="10"/>
        <v>-2.5370330836160804E-16</v>
      </c>
    </row>
    <row r="27" spans="1:8">
      <c r="A27" s="114">
        <v>1E-3</v>
      </c>
      <c r="B27" s="56">
        <f t="shared" si="6"/>
        <v>5.6605877175588807E-4</v>
      </c>
      <c r="C27" s="93">
        <f t="shared" si="7"/>
        <v>9.9900099900099922E-4</v>
      </c>
      <c r="D27" s="110">
        <v>5.6573853049817933E-4</v>
      </c>
      <c r="E27" s="87">
        <f t="shared" si="8"/>
        <v>0.18023509655166714</v>
      </c>
      <c r="F27" s="87">
        <f t="shared" si="9"/>
        <v>5.9560706930156462</v>
      </c>
      <c r="G27" s="87">
        <f t="shared" si="2"/>
        <v>0.56630426902890585</v>
      </c>
      <c r="H27" s="56">
        <f t="shared" si="10"/>
        <v>-2.2822455730819868E-16</v>
      </c>
    </row>
    <row r="28" spans="1:8" ht="15.75" thickBot="1">
      <c r="A28" s="115">
        <v>0</v>
      </c>
      <c r="B28" s="59">
        <f t="shared" si="6"/>
        <v>0</v>
      </c>
      <c r="C28" s="95">
        <f t="shared" si="7"/>
        <v>0</v>
      </c>
      <c r="D28" s="111">
        <v>0</v>
      </c>
      <c r="E28" s="94">
        <f t="shared" si="8"/>
        <v>0.18435999999999997</v>
      </c>
      <c r="F28" s="94">
        <f t="shared" si="9"/>
        <v>6.0056369328368238</v>
      </c>
      <c r="G28" s="94">
        <f t="shared" si="2"/>
        <v>0.57101703599511378</v>
      </c>
      <c r="H28" s="59">
        <f t="shared" si="10"/>
        <v>0</v>
      </c>
    </row>
    <row r="29" spans="1:8" ht="15.75" thickTop="1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</vt:vector>
  </HeadingPairs>
  <TitlesOfParts>
    <vt:vector size="11" baseType="lpstr">
      <vt:lpstr>1-Stage</vt:lpstr>
      <vt:lpstr>1-Stage DIY</vt:lpstr>
      <vt:lpstr>2-Stage</vt:lpstr>
      <vt:lpstr>2-Stage DIY</vt:lpstr>
      <vt:lpstr>2-Stage SF</vt:lpstr>
      <vt:lpstr>2-Stage SF DIY</vt:lpstr>
      <vt:lpstr>7-Stage</vt:lpstr>
      <vt:lpstr>7-Stage DIY</vt:lpstr>
      <vt:lpstr>Equilibrium</vt:lpstr>
      <vt:lpstr>7-Stage Streams</vt:lpstr>
      <vt:lpstr>7-Stage Stairs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Alan</dc:creator>
  <cp:lastModifiedBy>Lane, Alan</cp:lastModifiedBy>
  <cp:lastPrinted>2017-06-23T20:56:19Z</cp:lastPrinted>
  <dcterms:created xsi:type="dcterms:W3CDTF">2017-05-15T20:54:28Z</dcterms:created>
  <dcterms:modified xsi:type="dcterms:W3CDTF">2020-03-05T17:12:15Z</dcterms:modified>
</cp:coreProperties>
</file>