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obiedw\Documents\A Separations Book\Chapter 8 Distillation - Energy Balances\"/>
    </mc:Choice>
  </mc:AlternateContent>
  <bookViews>
    <workbookView xWindow="0" yWindow="0" windowWidth="24000" windowHeight="11028" tabRatio="807"/>
  </bookViews>
  <sheets>
    <sheet name="10-Tray" sheetId="3" r:id="rId1"/>
    <sheet name="Flash" sheetId="25" r:id="rId2"/>
    <sheet name="DIY" sheetId="31" r:id="rId3"/>
    <sheet name="XY with Stair Steps" sheetId="17" r:id="rId4"/>
    <sheet name="Flow" sheetId="9" r:id="rId5"/>
    <sheet name="Temp" sheetId="10" r:id="rId6"/>
    <sheet name="Mole" sheetId="11" r:id="rId7"/>
    <sheet name="VLE" sheetId="2" r:id="rId8"/>
    <sheet name="xy" sheetId="24" r:id="rId9"/>
    <sheet name="Txy" sheetId="26" r:id="rId10"/>
    <sheet name="Lewis" sheetId="27" r:id="rId11"/>
  </sheets>
  <definedNames>
    <definedName name="solver_adj" localSheetId="0" hidden="1">'10-Tray'!$K$7:$K$18,'10-Tray'!$I$9:$I$18,'10-Tray'!$F$7</definedName>
    <definedName name="solver_adj" localSheetId="1" hidden="1">Flash!$B$13,Flash!$B$14,Flash!$B$15,Flash!$B$16</definedName>
    <definedName name="solver_adj" localSheetId="10" hidden="1">Lewis!$K$7:$K$18,Lewis!$F$7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cvg" localSheetId="10" hidden="1">0.0001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drv" localSheetId="10" hidden="1">1</definedName>
    <definedName name="solver_eng" localSheetId="0" hidden="1">1</definedName>
    <definedName name="solver_eng" localSheetId="2" hidden="1">1</definedName>
    <definedName name="solver_eng" localSheetId="1" hidden="1">1</definedName>
    <definedName name="solver_eng" localSheetId="10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est" localSheetId="10" hidden="1">1</definedName>
    <definedName name="solver_itr" localSheetId="0" hidden="1">100</definedName>
    <definedName name="solver_itr" localSheetId="2" hidden="1">100</definedName>
    <definedName name="solver_itr" localSheetId="1" hidden="1">2147483647</definedName>
    <definedName name="solver_itr" localSheetId="10" hidden="1">2147483647</definedName>
    <definedName name="solver_lhs1" localSheetId="0" hidden="1">'10-Tray'!$N$7:$N$18</definedName>
    <definedName name="solver_lhs1" localSheetId="2" hidden="1">DIY!$V$8:$V$17</definedName>
    <definedName name="solver_lhs1" localSheetId="1" hidden="1">Flash!$D$13:$D$14</definedName>
    <definedName name="solver_lhs1" localSheetId="10" hidden="1">Lewis!$H$20</definedName>
    <definedName name="solver_lhs10" localSheetId="0" hidden="1">'10-Tray'!$N$9</definedName>
    <definedName name="solver_lhs10" localSheetId="2" hidden="1">DIY!$N$9</definedName>
    <definedName name="solver_lhs11" localSheetId="0" hidden="1">'10-Tray'!$N$9</definedName>
    <definedName name="solver_lhs11" localSheetId="2" hidden="1">DIY!$N$9</definedName>
    <definedName name="solver_lhs12" localSheetId="0" hidden="1">'10-Tray'!$N$9</definedName>
    <definedName name="solver_lhs12" localSheetId="2" hidden="1">DIY!$N$9</definedName>
    <definedName name="solver_lhs13" localSheetId="0" hidden="1">'10-Tray'!$N$9</definedName>
    <definedName name="solver_lhs13" localSheetId="2" hidden="1">DIY!$N$9</definedName>
    <definedName name="solver_lhs2" localSheetId="0" hidden="1">'10-Tray'!$V$8:$V$17</definedName>
    <definedName name="solver_lhs2" localSheetId="2" hidden="1">DIY!$V$8:$V$17</definedName>
    <definedName name="solver_lhs2" localSheetId="1" hidden="1">Flash!$D$16</definedName>
    <definedName name="solver_lhs2" localSheetId="10" hidden="1">Lewis!$N$8:$N$18</definedName>
    <definedName name="solver_lhs3" localSheetId="0" hidden="1">'10-Tray'!$V$8:$V$17</definedName>
    <definedName name="solver_lhs3" localSheetId="2" hidden="1">DIY!$V$8:$V$17</definedName>
    <definedName name="solver_lhs4" localSheetId="0" hidden="1">'10-Tray'!$N$9</definedName>
    <definedName name="solver_lhs4" localSheetId="2" hidden="1">DIY!$N$9</definedName>
    <definedName name="solver_lhs5" localSheetId="0" hidden="1">'10-Tray'!$N$9</definedName>
    <definedName name="solver_lhs5" localSheetId="2" hidden="1">DIY!$N$9</definedName>
    <definedName name="solver_lhs6" localSheetId="0" hidden="1">'10-Tray'!$N$9</definedName>
    <definedName name="solver_lhs6" localSheetId="2" hidden="1">DIY!$N$9</definedName>
    <definedName name="solver_lhs7" localSheetId="0" hidden="1">'10-Tray'!$N$9</definedName>
    <definedName name="solver_lhs7" localSheetId="2" hidden="1">DIY!$N$9</definedName>
    <definedName name="solver_lhs8" localSheetId="0" hidden="1">'10-Tray'!$N$9</definedName>
    <definedName name="solver_lhs8" localSheetId="2" hidden="1">DIY!$N$9</definedName>
    <definedName name="solver_lhs9" localSheetId="0" hidden="1">'10-Tray'!$N$9</definedName>
    <definedName name="solver_lhs9" localSheetId="2" hidden="1">DIY!$N$9</definedName>
    <definedName name="solver_lin" localSheetId="0" hidden="1">2</definedName>
    <definedName name="solver_lin" localSheetId="2" hidden="1">2</definedName>
    <definedName name="solver_mip" localSheetId="0" hidden="1">2147483647</definedName>
    <definedName name="solver_mip" localSheetId="2" hidden="1">2147483647</definedName>
    <definedName name="solver_mip" localSheetId="1" hidden="1">2147483647</definedName>
    <definedName name="solver_mip" localSheetId="10" hidden="1">2147483647</definedName>
    <definedName name="solver_mni" localSheetId="0" hidden="1">30</definedName>
    <definedName name="solver_mni" localSheetId="2" hidden="1">30</definedName>
    <definedName name="solver_mni" localSheetId="1" hidden="1">30</definedName>
    <definedName name="solver_mni" localSheetId="10" hidden="1">30</definedName>
    <definedName name="solver_mrt" localSheetId="0" hidden="1">0.075</definedName>
    <definedName name="solver_mrt" localSheetId="2" hidden="1">0.075</definedName>
    <definedName name="solver_mrt" localSheetId="1" hidden="1">0.075</definedName>
    <definedName name="solver_mrt" localSheetId="10" hidden="1">0.075</definedName>
    <definedName name="solver_msl" localSheetId="0" hidden="1">2</definedName>
    <definedName name="solver_msl" localSheetId="2" hidden="1">2</definedName>
    <definedName name="solver_msl" localSheetId="1" hidden="1">2</definedName>
    <definedName name="solver_msl" localSheetId="10" hidden="1">2</definedName>
    <definedName name="solver_neg" localSheetId="0" hidden="1">2</definedName>
    <definedName name="solver_neg" localSheetId="2" hidden="1">2</definedName>
    <definedName name="solver_neg" localSheetId="1" hidden="1">1</definedName>
    <definedName name="solver_neg" localSheetId="10" hidden="1">1</definedName>
    <definedName name="solver_nod" localSheetId="0" hidden="1">2147483647</definedName>
    <definedName name="solver_nod" localSheetId="2" hidden="1">2147483647</definedName>
    <definedName name="solver_nod" localSheetId="1" hidden="1">2147483647</definedName>
    <definedName name="solver_nod" localSheetId="10" hidden="1">2147483647</definedName>
    <definedName name="solver_num" localSheetId="0" hidden="1">2</definedName>
    <definedName name="solver_num" localSheetId="2" hidden="1">0</definedName>
    <definedName name="solver_num" localSheetId="1" hidden="1">2</definedName>
    <definedName name="solver_num" localSheetId="10" hidden="1">2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nwt" localSheetId="10" hidden="1">1</definedName>
    <definedName name="solver_opt" localSheetId="0" hidden="1">'10-Tray'!$H$20</definedName>
    <definedName name="solver_opt" localSheetId="1" hidden="1">Flash!$D$15</definedName>
    <definedName name="solver_opt" localSheetId="10" hidden="1">Lewis!$N$7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pre" localSheetId="10" hidden="1">0.000001</definedName>
    <definedName name="solver_rbv" localSheetId="0" hidden="1">1</definedName>
    <definedName name="solver_rbv" localSheetId="2" hidden="1">1</definedName>
    <definedName name="solver_rbv" localSheetId="1" hidden="1">1</definedName>
    <definedName name="solver_rbv" localSheetId="10" hidden="1">1</definedName>
    <definedName name="solver_rel1" localSheetId="0" hidden="1">2</definedName>
    <definedName name="solver_rel1" localSheetId="2" hidden="1">2</definedName>
    <definedName name="solver_rel1" localSheetId="1" hidden="1">2</definedName>
    <definedName name="solver_rel1" localSheetId="10" hidden="1">2</definedName>
    <definedName name="solver_rel10" localSheetId="0" hidden="1">2</definedName>
    <definedName name="solver_rel10" localSheetId="2" hidden="1">2</definedName>
    <definedName name="solver_rel11" localSheetId="0" hidden="1">2</definedName>
    <definedName name="solver_rel11" localSheetId="2" hidden="1">2</definedName>
    <definedName name="solver_rel12" localSheetId="0" hidden="1">2</definedName>
    <definedName name="solver_rel12" localSheetId="2" hidden="1">2</definedName>
    <definedName name="solver_rel13" localSheetId="0" hidden="1">2</definedName>
    <definedName name="solver_rel13" localSheetId="2" hidden="1">2</definedName>
    <definedName name="solver_rel2" localSheetId="0" hidden="1">2</definedName>
    <definedName name="solver_rel2" localSheetId="2" hidden="1">2</definedName>
    <definedName name="solver_rel2" localSheetId="1" hidden="1">2</definedName>
    <definedName name="solver_rel2" localSheetId="10" hidden="1">2</definedName>
    <definedName name="solver_rel3" localSheetId="0" hidden="1">2</definedName>
    <definedName name="solver_rel3" localSheetId="2" hidden="1">2</definedName>
    <definedName name="solver_rel4" localSheetId="0" hidden="1">2</definedName>
    <definedName name="solver_rel4" localSheetId="2" hidden="1">2</definedName>
    <definedName name="solver_rel5" localSheetId="0" hidden="1">2</definedName>
    <definedName name="solver_rel5" localSheetId="2" hidden="1">2</definedName>
    <definedName name="solver_rel6" localSheetId="0" hidden="1">2</definedName>
    <definedName name="solver_rel6" localSheetId="2" hidden="1">2</definedName>
    <definedName name="solver_rel7" localSheetId="0" hidden="1">2</definedName>
    <definedName name="solver_rel7" localSheetId="2" hidden="1">2</definedName>
    <definedName name="solver_rel8" localSheetId="0" hidden="1">2</definedName>
    <definedName name="solver_rel8" localSheetId="2" hidden="1">2</definedName>
    <definedName name="solver_rel9" localSheetId="0" hidden="1">2</definedName>
    <definedName name="solver_rel9" localSheetId="2" hidden="1">2</definedName>
    <definedName name="solver_rhs1" localSheetId="0" hidden="1">1</definedName>
    <definedName name="solver_rhs1" localSheetId="2" hidden="1">0</definedName>
    <definedName name="solver_rhs1" localSheetId="1" hidden="1">0</definedName>
    <definedName name="solver_rhs1" localSheetId="10" hidden="1">0</definedName>
    <definedName name="solver_rhs10" localSheetId="0" hidden="1">1</definedName>
    <definedName name="solver_rhs10" localSheetId="2" hidden="1">1</definedName>
    <definedName name="solver_rhs11" localSheetId="0" hidden="1">1</definedName>
    <definedName name="solver_rhs11" localSheetId="2" hidden="1">1</definedName>
    <definedName name="solver_rhs12" localSheetId="0" hidden="1">1</definedName>
    <definedName name="solver_rhs12" localSheetId="2" hidden="1">1</definedName>
    <definedName name="solver_rhs13" localSheetId="0" hidden="1">1</definedName>
    <definedName name="solver_rhs13" localSheetId="2" hidden="1">1</definedName>
    <definedName name="solver_rhs2" localSheetId="0" hidden="1">0</definedName>
    <definedName name="solver_rhs2" localSheetId="2" hidden="1">0</definedName>
    <definedName name="solver_rhs2" localSheetId="1" hidden="1">0</definedName>
    <definedName name="solver_rhs2" localSheetId="10" hidden="1">1</definedName>
    <definedName name="solver_rhs3" localSheetId="0" hidden="1">0</definedName>
    <definedName name="solver_rhs3" localSheetId="2" hidden="1">0</definedName>
    <definedName name="solver_rhs4" localSheetId="0" hidden="1">1</definedName>
    <definedName name="solver_rhs4" localSheetId="2" hidden="1">1</definedName>
    <definedName name="solver_rhs5" localSheetId="0" hidden="1">1</definedName>
    <definedName name="solver_rhs5" localSheetId="2" hidden="1">1</definedName>
    <definedName name="solver_rhs6" localSheetId="0" hidden="1">1</definedName>
    <definedName name="solver_rhs6" localSheetId="2" hidden="1">1</definedName>
    <definedName name="solver_rhs7" localSheetId="0" hidden="1">1</definedName>
    <definedName name="solver_rhs7" localSheetId="2" hidden="1">1</definedName>
    <definedName name="solver_rhs8" localSheetId="0" hidden="1">1</definedName>
    <definedName name="solver_rhs8" localSheetId="2" hidden="1">1</definedName>
    <definedName name="solver_rhs9" localSheetId="0" hidden="1">1</definedName>
    <definedName name="solver_rhs9" localSheetId="2" hidden="1">1</definedName>
    <definedName name="solver_rlx" localSheetId="0" hidden="1">1</definedName>
    <definedName name="solver_rlx" localSheetId="2" hidden="1">1</definedName>
    <definedName name="solver_rlx" localSheetId="1" hidden="1">2</definedName>
    <definedName name="solver_rlx" localSheetId="10" hidden="1">2</definedName>
    <definedName name="solver_rsd" localSheetId="0" hidden="1">0</definedName>
    <definedName name="solver_rsd" localSheetId="2" hidden="1">0</definedName>
    <definedName name="solver_rsd" localSheetId="1" hidden="1">0</definedName>
    <definedName name="solver_rsd" localSheetId="10" hidden="1">0</definedName>
    <definedName name="solver_scl" localSheetId="0" hidden="1">2</definedName>
    <definedName name="solver_scl" localSheetId="2" hidden="1">2</definedName>
    <definedName name="solver_scl" localSheetId="1" hidden="1">1</definedName>
    <definedName name="solver_scl" localSheetId="10" hidden="1">1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sho" localSheetId="10" hidden="1">2</definedName>
    <definedName name="solver_ssz" localSheetId="0" hidden="1">100</definedName>
    <definedName name="solver_ssz" localSheetId="2" hidden="1">100</definedName>
    <definedName name="solver_ssz" localSheetId="1" hidden="1">100</definedName>
    <definedName name="solver_ssz" localSheetId="10" hidden="1">100</definedName>
    <definedName name="solver_tim" localSheetId="0" hidden="1">100</definedName>
    <definedName name="solver_tim" localSheetId="2" hidden="1">100</definedName>
    <definedName name="solver_tim" localSheetId="1" hidden="1">2147483647</definedName>
    <definedName name="solver_tim" localSheetId="10" hidden="1">2147483647</definedName>
    <definedName name="solver_tol" localSheetId="0" hidden="1">0.05</definedName>
    <definedName name="solver_tol" localSheetId="2" hidden="1">0.05</definedName>
    <definedName name="solver_tol" localSheetId="1" hidden="1">0.01</definedName>
    <definedName name="solver_tol" localSheetId="10" hidden="1">0.01</definedName>
    <definedName name="solver_typ" localSheetId="0" hidden="1">3</definedName>
    <definedName name="solver_typ" localSheetId="2" hidden="1">3</definedName>
    <definedName name="solver_typ" localSheetId="1" hidden="1">3</definedName>
    <definedName name="solver_typ" localSheetId="10" hidden="1">3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al" localSheetId="10" hidden="1">1</definedName>
    <definedName name="solver_ver" localSheetId="0" hidden="1">3</definedName>
    <definedName name="solver_ver" localSheetId="2" hidden="1">3</definedName>
    <definedName name="solver_ver" localSheetId="1" hidden="1">3</definedName>
    <definedName name="solver_ver" localSheetId="10" hidden="1">3</definedName>
  </definedNames>
  <calcPr calcId="152511"/>
</workbook>
</file>

<file path=xl/calcChain.xml><?xml version="1.0" encoding="utf-8"?>
<calcChain xmlns="http://schemas.openxmlformats.org/spreadsheetml/2006/main">
  <c r="O25" i="31" l="1"/>
  <c r="O24" i="31"/>
  <c r="M30" i="27" l="1"/>
  <c r="B44" i="27"/>
  <c r="B43" i="27"/>
  <c r="K41" i="27"/>
  <c r="K40" i="27"/>
  <c r="B40" i="27"/>
  <c r="K39" i="27"/>
  <c r="B39" i="27"/>
  <c r="K38" i="27"/>
  <c r="B38" i="27"/>
  <c r="K37" i="27"/>
  <c r="B37" i="27"/>
  <c r="K36" i="27"/>
  <c r="B36" i="27"/>
  <c r="K35" i="27"/>
  <c r="B35" i="27"/>
  <c r="K34" i="27"/>
  <c r="B34" i="27"/>
  <c r="K33" i="27"/>
  <c r="B33" i="27"/>
  <c r="K32" i="27"/>
  <c r="B32" i="27"/>
  <c r="K31" i="27"/>
  <c r="B31" i="27"/>
  <c r="K30" i="27"/>
  <c r="B30" i="27"/>
  <c r="M18" i="27"/>
  <c r="L18" i="27"/>
  <c r="M17" i="27"/>
  <c r="L17" i="27"/>
  <c r="D17" i="27"/>
  <c r="M16" i="27"/>
  <c r="L16" i="27"/>
  <c r="D16" i="27"/>
  <c r="M15" i="27"/>
  <c r="L15" i="27"/>
  <c r="D15" i="27"/>
  <c r="M14" i="27"/>
  <c r="L14" i="27"/>
  <c r="D14" i="27"/>
  <c r="M13" i="27"/>
  <c r="L13" i="27"/>
  <c r="D13" i="27"/>
  <c r="M12" i="27"/>
  <c r="L12" i="27"/>
  <c r="D12" i="27"/>
  <c r="M11" i="27"/>
  <c r="L11" i="27"/>
  <c r="D11" i="27"/>
  <c r="M10" i="27"/>
  <c r="L10" i="27"/>
  <c r="D10" i="27"/>
  <c r="M9" i="27"/>
  <c r="L9" i="27"/>
  <c r="D9" i="27"/>
  <c r="M8" i="27"/>
  <c r="L8" i="27"/>
  <c r="J8" i="27"/>
  <c r="M31" i="27" s="1"/>
  <c r="D8" i="27"/>
  <c r="M7" i="27"/>
  <c r="L7" i="27"/>
  <c r="H7" i="27"/>
  <c r="L30" i="27" s="1"/>
  <c r="G7" i="27"/>
  <c r="I30" i="27" s="1"/>
  <c r="N8" i="27" l="1"/>
  <c r="F31" i="27"/>
  <c r="N7" i="27"/>
  <c r="H8" i="27"/>
  <c r="I8" i="27"/>
  <c r="E30" i="27"/>
  <c r="F30" i="27"/>
  <c r="E32" i="27" l="1"/>
  <c r="L31" i="27"/>
  <c r="E31" i="27"/>
  <c r="J31" i="27"/>
  <c r="I9" i="27"/>
  <c r="G8" i="27" l="1"/>
  <c r="J32" i="27"/>
  <c r="I10" i="27"/>
  <c r="G9" i="27" l="1"/>
  <c r="I32" i="27" s="1"/>
  <c r="J33" i="27"/>
  <c r="I11" i="27"/>
  <c r="I31" i="27"/>
  <c r="J9" i="27"/>
  <c r="M32" i="27" s="1"/>
  <c r="J34" i="27" l="1"/>
  <c r="G10" i="27"/>
  <c r="I33" i="27" s="1"/>
  <c r="I12" i="27"/>
  <c r="F32" i="27"/>
  <c r="F33" i="27"/>
  <c r="N9" i="27"/>
  <c r="H9" i="27"/>
  <c r="L32" i="27" s="1"/>
  <c r="J10" i="27" l="1"/>
  <c r="M33" i="27" s="1"/>
  <c r="G11" i="27"/>
  <c r="I34" i="27" s="1"/>
  <c r="J35" i="27"/>
  <c r="I13" i="27"/>
  <c r="F34" i="27"/>
  <c r="E33" i="27"/>
  <c r="E34" i="27"/>
  <c r="N10" i="27" l="1"/>
  <c r="F35" i="27"/>
  <c r="H10" i="27"/>
  <c r="L33" i="27" s="1"/>
  <c r="G12" i="27"/>
  <c r="I35" i="27" s="1"/>
  <c r="J36" i="27"/>
  <c r="I14" i="27"/>
  <c r="E35" i="27" l="1"/>
  <c r="J11" i="27"/>
  <c r="M34" i="27" s="1"/>
  <c r="E36" i="27"/>
  <c r="G13" i="27"/>
  <c r="I36" i="27" s="1"/>
  <c r="J37" i="27"/>
  <c r="I15" i="27"/>
  <c r="H11" i="27" l="1"/>
  <c r="E38" i="27" s="1"/>
  <c r="F36" i="27"/>
  <c r="N11" i="27"/>
  <c r="L34" i="27"/>
  <c r="F37" i="27"/>
  <c r="G14" i="27"/>
  <c r="I37" i="27" s="1"/>
  <c r="J38" i="27"/>
  <c r="I16" i="27"/>
  <c r="E37" i="27" l="1"/>
  <c r="J12" i="27"/>
  <c r="G15" i="27"/>
  <c r="I38" i="27" s="1"/>
  <c r="J39" i="27"/>
  <c r="I17" i="27"/>
  <c r="M35" i="27" l="1"/>
  <c r="N12" i="27"/>
  <c r="F38" i="27"/>
  <c r="H12" i="27"/>
  <c r="E39" i="27" s="1"/>
  <c r="F39" i="27"/>
  <c r="G16" i="27"/>
  <c r="I39" i="27" s="1"/>
  <c r="I18" i="27"/>
  <c r="J40" i="27"/>
  <c r="L35" i="27" l="1"/>
  <c r="E40" i="27"/>
  <c r="J13" i="27"/>
  <c r="N13" i="27" s="1"/>
  <c r="G17" i="27"/>
  <c r="J41" i="27"/>
  <c r="M36" i="27" l="1"/>
  <c r="F40" i="27"/>
  <c r="F41" i="27"/>
  <c r="H13" i="27"/>
  <c r="J14" i="27" s="1"/>
  <c r="H14" i="27" s="1"/>
  <c r="J15" i="27" s="1"/>
  <c r="G18" i="27"/>
  <c r="I40" i="27"/>
  <c r="F43" i="27" l="1"/>
  <c r="E42" i="27"/>
  <c r="M37" i="27"/>
  <c r="N14" i="27"/>
  <c r="E41" i="27"/>
  <c r="F42" i="27"/>
  <c r="L36" i="27"/>
  <c r="M38" i="27"/>
  <c r="F45" i="27"/>
  <c r="H15" i="27"/>
  <c r="F44" i="27"/>
  <c r="N15" i="27"/>
  <c r="L37" i="27"/>
  <c r="E43" i="27"/>
  <c r="E44" i="27"/>
  <c r="I41" i="27"/>
  <c r="H19" i="27"/>
  <c r="F52" i="27" s="1"/>
  <c r="E46" i="27" l="1"/>
  <c r="L38" i="27"/>
  <c r="E45" i="27"/>
  <c r="J16" i="27"/>
  <c r="M39" i="27" l="1"/>
  <c r="H16" i="27"/>
  <c r="J17" i="27" s="1"/>
  <c r="F47" i="27"/>
  <c r="F46" i="27"/>
  <c r="N16" i="27"/>
  <c r="M40" i="27" l="1"/>
  <c r="N17" i="27"/>
  <c r="F49" i="27"/>
  <c r="H17" i="27"/>
  <c r="J18" i="27" s="1"/>
  <c r="F48" i="27"/>
  <c r="L39" i="27"/>
  <c r="E47" i="27"/>
  <c r="E48" i="27"/>
  <c r="B9" i="25"/>
  <c r="L40" i="27" l="1"/>
  <c r="E49" i="27"/>
  <c r="E50" i="27"/>
  <c r="M41" i="27"/>
  <c r="H18" i="27"/>
  <c r="F51" i="27"/>
  <c r="F50" i="27"/>
  <c r="N18" i="27"/>
  <c r="J12" i="25"/>
  <c r="B8" i="25"/>
  <c r="C19" i="3"/>
  <c r="B7" i="25" s="1"/>
  <c r="B19" i="3"/>
  <c r="B6" i="25" s="1"/>
  <c r="L41" i="27" l="1"/>
  <c r="E51" i="27"/>
  <c r="C30" i="27"/>
  <c r="C33" i="27"/>
  <c r="C37" i="27"/>
  <c r="E52" i="27"/>
  <c r="C40" i="27"/>
  <c r="C31" i="27"/>
  <c r="C34" i="27"/>
  <c r="H20" i="27"/>
  <c r="C39" i="27"/>
  <c r="C35" i="27"/>
  <c r="C32" i="27"/>
  <c r="C36" i="27"/>
  <c r="C38" i="27"/>
  <c r="G13" i="25"/>
  <c r="G15" i="25"/>
  <c r="G14" i="25"/>
  <c r="J13" i="25"/>
  <c r="G16" i="25"/>
  <c r="J11" i="25"/>
  <c r="J20" i="25" s="1"/>
  <c r="E7" i="25"/>
  <c r="E6" i="25"/>
  <c r="E9" i="25"/>
  <c r="E8" i="25"/>
  <c r="J17" i="25" l="1"/>
  <c r="J18" i="25"/>
  <c r="I9" i="25"/>
  <c r="I7" i="25"/>
  <c r="D12" i="25" l="1"/>
  <c r="B12" i="25"/>
  <c r="O27" i="25"/>
  <c r="O26" i="25"/>
  <c r="D14" i="25" l="1"/>
  <c r="D13" i="25"/>
  <c r="S9" i="3" l="1"/>
  <c r="S15" i="3"/>
  <c r="S16" i="3"/>
  <c r="S18" i="3"/>
  <c r="S14" i="3"/>
  <c r="S10" i="3"/>
  <c r="S17" i="3"/>
  <c r="S8" i="3"/>
  <c r="S11" i="3"/>
  <c r="S13" i="3"/>
  <c r="R18" i="3" l="1"/>
  <c r="Q18" i="3"/>
  <c r="P18" i="3"/>
  <c r="O18" i="3"/>
  <c r="R17" i="3"/>
  <c r="Q17" i="3"/>
  <c r="P17" i="3"/>
  <c r="O17" i="3"/>
  <c r="R16" i="3"/>
  <c r="Q16" i="3"/>
  <c r="P16" i="3"/>
  <c r="O16" i="3"/>
  <c r="R15" i="3"/>
  <c r="Q15" i="3"/>
  <c r="P15" i="3"/>
  <c r="O15" i="3"/>
  <c r="R14" i="3"/>
  <c r="Q14" i="3"/>
  <c r="P14" i="3"/>
  <c r="O14" i="3"/>
  <c r="R13" i="3"/>
  <c r="Q13" i="3"/>
  <c r="P13" i="3"/>
  <c r="O13" i="3"/>
  <c r="R12" i="3"/>
  <c r="Q12" i="3"/>
  <c r="P12" i="3"/>
  <c r="O12" i="3"/>
  <c r="R11" i="3"/>
  <c r="Q11" i="3"/>
  <c r="P11" i="3"/>
  <c r="O11" i="3"/>
  <c r="R10" i="3"/>
  <c r="Q10" i="3"/>
  <c r="P10" i="3"/>
  <c r="O10" i="3"/>
  <c r="R9" i="3"/>
  <c r="Q9" i="3"/>
  <c r="P9" i="3"/>
  <c r="O9" i="3"/>
  <c r="R8" i="3"/>
  <c r="Q8" i="3"/>
  <c r="P8" i="3"/>
  <c r="O8" i="3"/>
  <c r="P7" i="3"/>
  <c r="O7" i="3"/>
  <c r="O25" i="3"/>
  <c r="O24" i="3"/>
  <c r="D7" i="2" l="1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F39" i="2" s="1"/>
  <c r="E39" i="2"/>
  <c r="D40" i="2"/>
  <c r="B40" i="2" s="1"/>
  <c r="E40" i="2"/>
  <c r="D41" i="2"/>
  <c r="E41" i="2"/>
  <c r="D42" i="2"/>
  <c r="B42" i="2" s="1"/>
  <c r="E42" i="2"/>
  <c r="D43" i="2"/>
  <c r="E43" i="2"/>
  <c r="D44" i="2"/>
  <c r="B44" i="2" s="1"/>
  <c r="E44" i="2"/>
  <c r="D45" i="2"/>
  <c r="E45" i="2"/>
  <c r="D46" i="2"/>
  <c r="B46" i="2" s="1"/>
  <c r="E46" i="2"/>
  <c r="D47" i="2"/>
  <c r="E47" i="2"/>
  <c r="D48" i="2"/>
  <c r="E48" i="2"/>
  <c r="D49" i="2"/>
  <c r="E49" i="2"/>
  <c r="D50" i="2"/>
  <c r="E50" i="2"/>
  <c r="F50" i="2" s="1"/>
  <c r="D51" i="2"/>
  <c r="E51" i="2"/>
  <c r="D52" i="2"/>
  <c r="F52" i="2" s="1"/>
  <c r="E52" i="2"/>
  <c r="D53" i="2"/>
  <c r="E53" i="2"/>
  <c r="D54" i="2"/>
  <c r="B54" i="2" s="1"/>
  <c r="E54" i="2"/>
  <c r="D55" i="2"/>
  <c r="E55" i="2"/>
  <c r="D56" i="2"/>
  <c r="E56" i="2"/>
  <c r="D57" i="2"/>
  <c r="E57" i="2"/>
  <c r="D58" i="2"/>
  <c r="B58" i="2" s="1"/>
  <c r="E58" i="2"/>
  <c r="D59" i="2"/>
  <c r="E59" i="2"/>
  <c r="D60" i="2"/>
  <c r="B60" i="2" s="1"/>
  <c r="E60" i="2"/>
  <c r="D61" i="2"/>
  <c r="E61" i="2"/>
  <c r="D62" i="2"/>
  <c r="B62" i="2" s="1"/>
  <c r="E62" i="2"/>
  <c r="F62" i="2" s="1"/>
  <c r="D63" i="2"/>
  <c r="F63" i="2" s="1"/>
  <c r="E63" i="2"/>
  <c r="D64" i="2"/>
  <c r="B64" i="2" s="1"/>
  <c r="E64" i="2"/>
  <c r="D65" i="2"/>
  <c r="E65" i="2"/>
  <c r="D66" i="2"/>
  <c r="B66" i="2" s="1"/>
  <c r="E66" i="2"/>
  <c r="D67" i="2"/>
  <c r="E67" i="2"/>
  <c r="D68" i="2"/>
  <c r="E68" i="2"/>
  <c r="D69" i="2"/>
  <c r="E69" i="2"/>
  <c r="D70" i="2"/>
  <c r="B70" i="2" s="1"/>
  <c r="E70" i="2"/>
  <c r="D71" i="2"/>
  <c r="E71" i="2"/>
  <c r="D72" i="2"/>
  <c r="E72" i="2"/>
  <c r="D73" i="2"/>
  <c r="E73" i="2"/>
  <c r="D74" i="2"/>
  <c r="B74" i="2" s="1"/>
  <c r="E74" i="2"/>
  <c r="D75" i="2"/>
  <c r="B75" i="2" s="1"/>
  <c r="E75" i="2"/>
  <c r="D76" i="2"/>
  <c r="E76" i="2"/>
  <c r="D77" i="2"/>
  <c r="E77" i="2"/>
  <c r="D78" i="2"/>
  <c r="B78" i="2" s="1"/>
  <c r="E78" i="2"/>
  <c r="D79" i="2"/>
  <c r="E79" i="2"/>
  <c r="D80" i="2"/>
  <c r="B80" i="2" s="1"/>
  <c r="E80" i="2"/>
  <c r="D81" i="2"/>
  <c r="B81" i="2" s="1"/>
  <c r="E81" i="2"/>
  <c r="D82" i="2"/>
  <c r="B82" i="2" s="1"/>
  <c r="E82" i="2"/>
  <c r="D83" i="2"/>
  <c r="B83" i="2" s="1"/>
  <c r="E83" i="2"/>
  <c r="D84" i="2"/>
  <c r="B84" i="2" s="1"/>
  <c r="E84" i="2"/>
  <c r="D85" i="2"/>
  <c r="B85" i="2" s="1"/>
  <c r="E85" i="2"/>
  <c r="D86" i="2"/>
  <c r="B86" i="2" s="1"/>
  <c r="E86" i="2"/>
  <c r="F86" i="2" s="1"/>
  <c r="D87" i="2"/>
  <c r="B87" i="2" s="1"/>
  <c r="E87" i="2"/>
  <c r="D88" i="2"/>
  <c r="E88" i="2"/>
  <c r="D89" i="2"/>
  <c r="E89" i="2"/>
  <c r="D90" i="2"/>
  <c r="B90" i="2" s="1"/>
  <c r="E90" i="2"/>
  <c r="D91" i="2"/>
  <c r="B91" i="2" s="1"/>
  <c r="E91" i="2"/>
  <c r="D92" i="2"/>
  <c r="E92" i="2"/>
  <c r="D93" i="2"/>
  <c r="B93" i="2" s="1"/>
  <c r="E93" i="2"/>
  <c r="D94" i="2"/>
  <c r="B94" i="2" s="1"/>
  <c r="E94" i="2"/>
  <c r="D95" i="2"/>
  <c r="E95" i="2"/>
  <c r="D96" i="2"/>
  <c r="E96" i="2"/>
  <c r="D97" i="2"/>
  <c r="E97" i="2"/>
  <c r="D98" i="2"/>
  <c r="B98" i="2" s="1"/>
  <c r="E98" i="2"/>
  <c r="F98" i="2" s="1"/>
  <c r="D99" i="2"/>
  <c r="E99" i="2"/>
  <c r="D100" i="2"/>
  <c r="E100" i="2"/>
  <c r="D101" i="2"/>
  <c r="E101" i="2"/>
  <c r="D102" i="2"/>
  <c r="B102" i="2" s="1"/>
  <c r="E102" i="2"/>
  <c r="D103" i="2"/>
  <c r="F103" i="2" s="1"/>
  <c r="E103" i="2"/>
  <c r="D104" i="2"/>
  <c r="E104" i="2"/>
  <c r="D105" i="2"/>
  <c r="F105" i="2" s="1"/>
  <c r="E105" i="2"/>
  <c r="D6" i="2"/>
  <c r="E6" i="2"/>
  <c r="E5" i="2"/>
  <c r="D5" i="2"/>
  <c r="B5" i="2" s="1"/>
  <c r="F97" i="2"/>
  <c r="B89" i="2"/>
  <c r="B79" i="2"/>
  <c r="B77" i="2"/>
  <c r="B76" i="2"/>
  <c r="B73" i="2"/>
  <c r="B68" i="2"/>
  <c r="F64" i="2"/>
  <c r="B56" i="2"/>
  <c r="F55" i="2"/>
  <c r="B52" i="2"/>
  <c r="B50" i="2"/>
  <c r="F43" i="2"/>
  <c r="F40" i="2"/>
  <c r="F35" i="2"/>
  <c r="F31" i="2"/>
  <c r="F19" i="2"/>
  <c r="F7" i="2"/>
  <c r="F15" i="2" l="1"/>
  <c r="F11" i="2"/>
  <c r="F10" i="2"/>
  <c r="F104" i="2"/>
  <c r="F80" i="2"/>
  <c r="F68" i="2"/>
  <c r="F56" i="2"/>
  <c r="F95" i="2"/>
  <c r="F71" i="2"/>
  <c r="F47" i="2"/>
  <c r="F23" i="2"/>
  <c r="F6" i="2"/>
  <c r="F44" i="2"/>
  <c r="F96" i="2"/>
  <c r="F92" i="2"/>
  <c r="F72" i="2"/>
  <c r="F48" i="2"/>
  <c r="B92" i="2"/>
  <c r="F57" i="2"/>
  <c r="F27" i="2"/>
  <c r="F100" i="2"/>
  <c r="F88" i="2"/>
  <c r="B48" i="2"/>
  <c r="F84" i="2"/>
  <c r="F102" i="2"/>
  <c r="F90" i="2"/>
  <c r="F78" i="2"/>
  <c r="F66" i="2"/>
  <c r="F42" i="2"/>
  <c r="B72" i="2"/>
  <c r="B100" i="2"/>
  <c r="F94" i="2"/>
  <c r="F46" i="2"/>
  <c r="F51" i="2"/>
  <c r="F60" i="2"/>
  <c r="F67" i="2"/>
  <c r="F76" i="2"/>
  <c r="B88" i="2"/>
  <c r="B96" i="2"/>
  <c r="F101" i="2"/>
  <c r="B104" i="2"/>
  <c r="F8" i="2"/>
  <c r="F12" i="2"/>
  <c r="F16" i="2"/>
  <c r="F20" i="2"/>
  <c r="F24" i="2"/>
  <c r="F28" i="2"/>
  <c r="F32" i="2"/>
  <c r="F36" i="2"/>
  <c r="F54" i="2"/>
  <c r="F61" i="2"/>
  <c r="F70" i="2"/>
  <c r="F82" i="2"/>
  <c r="F99" i="2"/>
  <c r="F9" i="2"/>
  <c r="F13" i="2"/>
  <c r="F17" i="2"/>
  <c r="F21" i="2"/>
  <c r="F25" i="2"/>
  <c r="F29" i="2"/>
  <c r="F33" i="2"/>
  <c r="F37" i="2"/>
  <c r="F41" i="2"/>
  <c r="F45" i="2"/>
  <c r="F49" i="2"/>
  <c r="F58" i="2"/>
  <c r="F65" i="2"/>
  <c r="F74" i="2"/>
  <c r="F59" i="2"/>
  <c r="F14" i="2"/>
  <c r="F18" i="2"/>
  <c r="F22" i="2"/>
  <c r="F26" i="2"/>
  <c r="F30" i="2"/>
  <c r="F34" i="2"/>
  <c r="F38" i="2"/>
  <c r="F53" i="2"/>
  <c r="F69" i="2"/>
  <c r="F73" i="2"/>
  <c r="F75" i="2"/>
  <c r="F77" i="2"/>
  <c r="F79" i="2"/>
  <c r="F81" i="2"/>
  <c r="F83" i="2"/>
  <c r="F85" i="2"/>
  <c r="F87" i="2"/>
  <c r="F89" i="2"/>
  <c r="F91" i="2"/>
  <c r="F93" i="2"/>
  <c r="B6" i="2"/>
  <c r="B8" i="2"/>
  <c r="B10" i="2"/>
  <c r="B12" i="2"/>
  <c r="B14" i="2"/>
  <c r="B16" i="2"/>
  <c r="B18" i="2"/>
  <c r="B20" i="2"/>
  <c r="B22" i="2"/>
  <c r="B24" i="2"/>
  <c r="B26" i="2"/>
  <c r="B28" i="2"/>
  <c r="B30" i="2"/>
  <c r="B32" i="2"/>
  <c r="B34" i="2"/>
  <c r="B36" i="2"/>
  <c r="B38" i="2"/>
  <c r="F5" i="2"/>
  <c r="B7" i="2"/>
  <c r="B9" i="2"/>
  <c r="B11" i="2"/>
  <c r="B13" i="2"/>
  <c r="B15" i="2"/>
  <c r="B17" i="2"/>
  <c r="B19" i="2"/>
  <c r="B21" i="2"/>
  <c r="B23" i="2"/>
  <c r="B25" i="2"/>
  <c r="B27" i="2"/>
  <c r="B29" i="2"/>
  <c r="B31" i="2"/>
  <c r="B33" i="2"/>
  <c r="B35" i="2"/>
  <c r="B37" i="2"/>
  <c r="B39" i="2"/>
  <c r="B41" i="2"/>
  <c r="B43" i="2"/>
  <c r="B45" i="2"/>
  <c r="B47" i="2"/>
  <c r="B49" i="2"/>
  <c r="B51" i="2"/>
  <c r="B53" i="2"/>
  <c r="B55" i="2"/>
  <c r="B57" i="2"/>
  <c r="B59" i="2"/>
  <c r="B61" i="2"/>
  <c r="B63" i="2"/>
  <c r="B65" i="2"/>
  <c r="B67" i="2"/>
  <c r="B69" i="2"/>
  <c r="B71" i="2"/>
  <c r="B95" i="2"/>
  <c r="B97" i="2"/>
  <c r="B99" i="2"/>
  <c r="B101" i="2"/>
  <c r="B103" i="2"/>
  <c r="B105" i="2"/>
  <c r="B43" i="3"/>
  <c r="B42" i="3"/>
  <c r="G7" i="3"/>
  <c r="I8" i="3" s="1"/>
  <c r="H7" i="3"/>
  <c r="T7" i="3" s="1"/>
  <c r="L7" i="3"/>
  <c r="M7" i="3"/>
  <c r="D8" i="3"/>
  <c r="J8" i="3"/>
  <c r="L8" i="3"/>
  <c r="M8" i="3"/>
  <c r="D9" i="3"/>
  <c r="L9" i="3"/>
  <c r="M9" i="3"/>
  <c r="D10" i="3"/>
  <c r="L10" i="3"/>
  <c r="M10" i="3"/>
  <c r="D11" i="3"/>
  <c r="L11" i="3"/>
  <c r="M11" i="3"/>
  <c r="D12" i="3"/>
  <c r="L12" i="3"/>
  <c r="M12" i="3"/>
  <c r="D13" i="3"/>
  <c r="L13" i="3"/>
  <c r="M13" i="3"/>
  <c r="D14" i="3"/>
  <c r="L14" i="3"/>
  <c r="M14" i="3"/>
  <c r="D15" i="3"/>
  <c r="L15" i="3"/>
  <c r="M15" i="3"/>
  <c r="D16" i="3"/>
  <c r="L16" i="3"/>
  <c r="M16" i="3"/>
  <c r="D17" i="3"/>
  <c r="L17" i="3"/>
  <c r="M17" i="3"/>
  <c r="L18" i="3"/>
  <c r="M18" i="3"/>
  <c r="B29" i="3"/>
  <c r="B30" i="3"/>
  <c r="B31" i="3"/>
  <c r="L29" i="3"/>
  <c r="B32" i="3"/>
  <c r="L30" i="3"/>
  <c r="B33" i="3"/>
  <c r="L31" i="3"/>
  <c r="B34" i="3"/>
  <c r="L32" i="3"/>
  <c r="B35" i="3"/>
  <c r="L33" i="3"/>
  <c r="B36" i="3"/>
  <c r="L34" i="3"/>
  <c r="B37" i="3"/>
  <c r="L35" i="3"/>
  <c r="B38" i="3"/>
  <c r="L36" i="3"/>
  <c r="B39" i="3"/>
  <c r="L37" i="3"/>
  <c r="L38" i="3"/>
  <c r="L39" i="3"/>
  <c r="L40" i="3"/>
  <c r="F29" i="3" l="1"/>
  <c r="U8" i="3"/>
  <c r="E29" i="3"/>
  <c r="H8" i="3"/>
  <c r="N8" i="3"/>
  <c r="F30" i="3"/>
  <c r="N7" i="3"/>
  <c r="J30" i="3"/>
  <c r="G8" i="3"/>
  <c r="I29" i="3"/>
  <c r="V7" i="3" l="1"/>
  <c r="E30" i="3"/>
  <c r="T8" i="3"/>
  <c r="J9" i="3"/>
  <c r="E31" i="3"/>
  <c r="I30" i="3"/>
  <c r="J31" i="3"/>
  <c r="G9" i="3"/>
  <c r="N9" i="3" l="1"/>
  <c r="U9" i="3"/>
  <c r="V8" i="3" s="1"/>
  <c r="H9" i="3"/>
  <c r="F31" i="3"/>
  <c r="F32" i="3"/>
  <c r="I31" i="3"/>
  <c r="G10" i="3"/>
  <c r="J32" i="3"/>
  <c r="J10" i="3" l="1"/>
  <c r="U10" i="3" s="1"/>
  <c r="T9" i="3"/>
  <c r="E32" i="3"/>
  <c r="E33" i="3"/>
  <c r="J33" i="3"/>
  <c r="G11" i="3"/>
  <c r="I32" i="3"/>
  <c r="V9" i="3" l="1"/>
  <c r="N10" i="3"/>
  <c r="F34" i="3"/>
  <c r="H10" i="3"/>
  <c r="T10" i="3" s="1"/>
  <c r="F33" i="3"/>
  <c r="I33" i="3"/>
  <c r="J34" i="3"/>
  <c r="G12" i="3"/>
  <c r="E35" i="3" l="1"/>
  <c r="J11" i="3"/>
  <c r="E34" i="3"/>
  <c r="I34" i="3"/>
  <c r="J35" i="3"/>
  <c r="G13" i="3"/>
  <c r="U11" i="3" l="1"/>
  <c r="V10" i="3" s="1"/>
  <c r="N11" i="3"/>
  <c r="F35" i="3"/>
  <c r="H11" i="3"/>
  <c r="F36" i="3"/>
  <c r="I35" i="3"/>
  <c r="J36" i="3"/>
  <c r="G14" i="3"/>
  <c r="E37" i="3" l="1"/>
  <c r="E36" i="3"/>
  <c r="T11" i="3"/>
  <c r="J12" i="3"/>
  <c r="J37" i="3"/>
  <c r="G15" i="3"/>
  <c r="I36" i="3"/>
  <c r="U12" i="3" l="1"/>
  <c r="V11" i="3" s="1"/>
  <c r="F38" i="3"/>
  <c r="H12" i="3"/>
  <c r="F37" i="3"/>
  <c r="N12" i="3"/>
  <c r="G16" i="3"/>
  <c r="J38" i="3"/>
  <c r="I37" i="3"/>
  <c r="T12" i="3" l="1"/>
  <c r="E39" i="3"/>
  <c r="E38" i="3"/>
  <c r="J13" i="3"/>
  <c r="J39" i="3"/>
  <c r="J40" i="3"/>
  <c r="I38" i="3"/>
  <c r="U13" i="3" l="1"/>
  <c r="N13" i="3"/>
  <c r="F40" i="3"/>
  <c r="H13" i="3"/>
  <c r="J14" i="3" s="1"/>
  <c r="F39" i="3"/>
  <c r="G17" i="3"/>
  <c r="G18" i="3" s="1"/>
  <c r="E41" i="3" l="1"/>
  <c r="T13" i="3"/>
  <c r="E40" i="3"/>
  <c r="U14" i="3"/>
  <c r="H14" i="3"/>
  <c r="J15" i="3" s="1"/>
  <c r="F41" i="3"/>
  <c r="N14" i="3"/>
  <c r="F42" i="3"/>
  <c r="I39" i="3"/>
  <c r="I40" i="3"/>
  <c r="H19" i="3"/>
  <c r="F51" i="3" s="1"/>
  <c r="V13" i="3" l="1"/>
  <c r="U15" i="3"/>
  <c r="N15" i="3"/>
  <c r="F43" i="3"/>
  <c r="H15" i="3"/>
  <c r="J16" i="3" s="1"/>
  <c r="F44" i="3"/>
  <c r="T14" i="3"/>
  <c r="E42" i="3"/>
  <c r="E43" i="3"/>
  <c r="V14" i="3" l="1"/>
  <c r="U16" i="3"/>
  <c r="F46" i="3"/>
  <c r="F45" i="3"/>
  <c r="N16" i="3"/>
  <c r="H16" i="3"/>
  <c r="J17" i="3" s="1"/>
  <c r="E44" i="3"/>
  <c r="E45" i="3"/>
  <c r="T15" i="3"/>
  <c r="V15" i="3" l="1"/>
  <c r="U17" i="3"/>
  <c r="F47" i="3"/>
  <c r="F48" i="3"/>
  <c r="H17" i="3"/>
  <c r="N17" i="3"/>
  <c r="T16" i="3"/>
  <c r="E47" i="3"/>
  <c r="E46" i="3"/>
  <c r="V16" i="3" l="1"/>
  <c r="T17" i="3"/>
  <c r="E48" i="3"/>
  <c r="E49" i="3"/>
  <c r="J18" i="3"/>
  <c r="U18" i="3" l="1"/>
  <c r="V17" i="3" s="1"/>
  <c r="N18" i="3"/>
  <c r="F49" i="3"/>
  <c r="F50" i="3"/>
  <c r="H18" i="3"/>
  <c r="T18" i="3" l="1"/>
  <c r="V18" i="3" s="1"/>
  <c r="C35" i="3"/>
  <c r="C33" i="3"/>
  <c r="C29" i="3"/>
  <c r="E50" i="3"/>
  <c r="C30" i="3"/>
  <c r="C36" i="3"/>
  <c r="C37" i="3"/>
  <c r="E51" i="3"/>
  <c r="C31" i="3"/>
  <c r="C34" i="3"/>
  <c r="C39" i="3"/>
  <c r="H20" i="3"/>
  <c r="C38" i="3"/>
  <c r="C32" i="3"/>
  <c r="D15" i="25"/>
  <c r="D16" i="25"/>
  <c r="J19" i="25"/>
  <c r="G17" i="25" s="1"/>
  <c r="S12" i="3" s="1"/>
  <c r="V12" i="3" s="1"/>
</calcChain>
</file>

<file path=xl/sharedStrings.xml><?xml version="1.0" encoding="utf-8"?>
<sst xmlns="http://schemas.openxmlformats.org/spreadsheetml/2006/main" count="379" uniqueCount="182">
  <si>
    <t>12</t>
  </si>
  <si>
    <t>Stage</t>
  </si>
  <si>
    <t>Profiles</t>
  </si>
  <si>
    <t>x</t>
  </si>
  <si>
    <t>y</t>
  </si>
  <si>
    <t>Antoine Constants</t>
  </si>
  <si>
    <t>Benzene</t>
  </si>
  <si>
    <t>Toluene</t>
  </si>
  <si>
    <t>A</t>
  </si>
  <si>
    <t>B</t>
  </si>
  <si>
    <t>C</t>
  </si>
  <si>
    <t>BP</t>
  </si>
  <si>
    <t>T</t>
  </si>
  <si>
    <t>Total Cond</t>
    <phoneticPr fontId="1" type="noConversion"/>
  </si>
  <si>
    <t>Reboiler</t>
    <phoneticPr fontId="1" type="noConversion"/>
  </si>
  <si>
    <t>R =</t>
    <phoneticPr fontId="1" type="noConversion"/>
  </si>
  <si>
    <t>P (mm Hg) =</t>
    <phoneticPr fontId="1" type="noConversion"/>
  </si>
  <si>
    <t>Operating Lines</t>
    <phoneticPr fontId="1" type="noConversion"/>
  </si>
  <si>
    <t>x</t>
    <phoneticPr fontId="1" type="noConversion"/>
  </si>
  <si>
    <t>L</t>
  </si>
  <si>
    <t>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</si>
  <si>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</si>
  <si>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</si>
  <si>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</si>
  <si>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</si>
  <si>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</si>
  <si>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</si>
  <si>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</si>
  <si>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</si>
  <si>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</si>
  <si>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</si>
  <si>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</si>
  <si>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BP/DP</t>
  </si>
  <si>
    <t>y (BOL)</t>
  </si>
  <si>
    <t>y (TOL)</t>
  </si>
  <si>
    <t>Feed Line</t>
  </si>
  <si>
    <t>McCabe-Thiele</t>
  </si>
  <si>
    <t>Specified or found by iteration</t>
  </si>
  <si>
    <t>Calculations</t>
  </si>
  <si>
    <t>F (mol)</t>
  </si>
  <si>
    <t>z (mol B/mol)</t>
  </si>
  <si>
    <t>Fz (mol B)</t>
  </si>
  <si>
    <t>D (mol)</t>
  </si>
  <si>
    <t>L (mol)</t>
  </si>
  <si>
    <t>x (mol B/mol)</t>
  </si>
  <si>
    <t>V (mol)</t>
  </si>
  <si>
    <t>y (mol B/mol)</t>
  </si>
  <si>
    <t>Instructions:</t>
  </si>
  <si>
    <t>1) Select the pressure. Most examples are for 1 atm = 760 mm Hg.</t>
  </si>
  <si>
    <t>2) Run Solver to make the BP criteria equal to zero. The cell contains</t>
  </si>
  <si>
    <r>
      <t xml:space="preserve">    P -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- p</t>
    </r>
    <r>
      <rPr>
        <vertAlign val="subscript"/>
        <sz val="16"/>
        <rFont val="Verdana"/>
        <family val="2"/>
      </rPr>
      <t>T</t>
    </r>
    <r>
      <rPr>
        <sz val="16"/>
        <rFont val="Verdana"/>
        <family val="2"/>
      </rPr>
      <t xml:space="preserve"> (1-x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).</t>
    </r>
  </si>
  <si>
    <t>3) The following are set and don't need to be changed:</t>
  </si>
  <si>
    <t xml:space="preserve">    x is set from 0 to 1 by 0.01.</t>
  </si>
  <si>
    <r>
      <t xml:space="preserve">    y =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/P</t>
    </r>
  </si>
  <si>
    <t xml:space="preserve">    T is found by iteration of BP</t>
  </si>
  <si>
    <r>
      <t xml:space="preserve">   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and p</t>
    </r>
    <r>
      <rPr>
        <vertAlign val="subscript"/>
        <sz val="16"/>
        <rFont val="Verdana"/>
        <family val="2"/>
      </rPr>
      <t>T</t>
    </r>
    <r>
      <rPr>
        <sz val="16"/>
        <rFont val="Verdana"/>
        <family val="2"/>
      </rPr>
      <t xml:space="preserve"> are the partial pressures at T using Antoine's Eq.</t>
    </r>
  </si>
  <si>
    <t>Benzene-Toluene VLE</t>
  </si>
  <si>
    <t>P (mm Hg) =</t>
  </si>
  <si>
    <t xml:space="preserve">T </t>
  </si>
  <si>
    <r>
      <t>p</t>
    </r>
    <r>
      <rPr>
        <vertAlign val="subscript"/>
        <sz val="16"/>
        <rFont val="Verdana"/>
        <family val="2"/>
      </rPr>
      <t>B</t>
    </r>
  </si>
  <si>
    <r>
      <t>p</t>
    </r>
    <r>
      <rPr>
        <vertAlign val="subscript"/>
        <sz val="16"/>
        <rFont val="Verdana"/>
        <family val="2"/>
      </rPr>
      <t>T</t>
    </r>
  </si>
  <si>
    <t>(mol B/mol)</t>
  </si>
  <si>
    <r>
      <t>(</t>
    </r>
    <r>
      <rPr>
        <vertAlign val="superscript"/>
        <sz val="16"/>
        <rFont val="Verdana"/>
        <family val="2"/>
      </rPr>
      <t>o</t>
    </r>
    <r>
      <rPr>
        <sz val="16"/>
        <rFont val="Verdana"/>
        <family val="2"/>
      </rPr>
      <t>C)</t>
    </r>
  </si>
  <si>
    <t>(mm Hg)</t>
  </si>
  <si>
    <t>4) If you change pressure, you will need to adjust T axis on TXY VLE.</t>
  </si>
  <si>
    <t>D =</t>
  </si>
  <si>
    <r>
      <t>Vapor C</t>
    </r>
    <r>
      <rPr>
        <vertAlign val="subscript"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 (kJ/mol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</si>
  <si>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Liquid C</t>
    </r>
    <r>
      <rPr>
        <vertAlign val="subscript"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 (kJ/mol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</si>
  <si>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T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(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C)</t>
    </r>
  </si>
  <si>
    <r>
      <t>H</t>
    </r>
    <r>
      <rPr>
        <vertAlign val="subscript"/>
        <sz val="16"/>
        <color theme="1"/>
        <rFont val="Calibri"/>
        <family val="2"/>
        <scheme val="minor"/>
      </rPr>
      <t>vap</t>
    </r>
    <r>
      <rPr>
        <sz val="16"/>
        <color theme="1"/>
        <rFont val="Calibri"/>
        <family val="2"/>
        <scheme val="minor"/>
      </rPr>
      <t xml:space="preserve"> (kJ/mol)</t>
    </r>
  </si>
  <si>
    <t>MW</t>
  </si>
  <si>
    <r>
      <rPr>
        <sz val="16"/>
        <color theme="1"/>
        <rFont val="Symbol"/>
        <family val="1"/>
        <charset val="2"/>
      </rPr>
      <t>r</t>
    </r>
    <r>
      <rPr>
        <sz val="16"/>
        <color theme="1"/>
        <rFont val="Calibri"/>
        <family val="2"/>
        <scheme val="minor"/>
      </rPr>
      <t xml:space="preserve"> (kg/m</t>
    </r>
    <r>
      <rPr>
        <vertAlign val="superscript"/>
        <sz val="16"/>
        <color theme="1"/>
        <rFont val="Calibri"/>
        <family val="2"/>
        <scheme val="minor"/>
      </rPr>
      <t>3</t>
    </r>
    <r>
      <rPr>
        <sz val="16"/>
        <color theme="1"/>
        <rFont val="Calibri"/>
        <family val="2"/>
        <scheme val="minor"/>
      </rPr>
      <t>)</t>
    </r>
  </si>
  <si>
    <t>V (L/mol)</t>
  </si>
  <si>
    <t>a</t>
  </si>
  <si>
    <t>b</t>
  </si>
  <si>
    <t>c</t>
  </si>
  <si>
    <t>d</t>
  </si>
  <si>
    <t>Q (kJ)</t>
  </si>
  <si>
    <t>---</t>
  </si>
  <si>
    <t>Feed</t>
  </si>
  <si>
    <t>Rigorous Solution Method</t>
  </si>
  <si>
    <t>ChemCAD</t>
  </si>
  <si>
    <t>Lewis</t>
  </si>
  <si>
    <t>Temp</t>
  </si>
  <si>
    <t>Duties</t>
  </si>
  <si>
    <t xml:space="preserve">(kJ)   </t>
  </si>
  <si>
    <t>(mol)</t>
  </si>
  <si>
    <t>superheated?</t>
  </si>
  <si>
    <t>subcooled?</t>
  </si>
  <si>
    <t>mixed?</t>
  </si>
  <si>
    <t>F (mol) =</t>
  </si>
  <si>
    <t xml:space="preserve">z (mol B/mol) = </t>
  </si>
  <si>
    <t xml:space="preserve">P (mm Hg) = </t>
  </si>
  <si>
    <t xml:space="preserve">x (mol B/mol) = </t>
  </si>
  <si>
    <t xml:space="preserve">y (mol B/mol) = </t>
  </si>
  <si>
    <t>L (mol) =</t>
  </si>
  <si>
    <t>V (mol) =</t>
  </si>
  <si>
    <t>y (mol B/mol) =</t>
  </si>
  <si>
    <t>x (mol B/mol =</t>
  </si>
  <si>
    <t>Sums</t>
  </si>
  <si>
    <r>
      <t>T (</t>
    </r>
    <r>
      <rPr>
        <b/>
        <vertAlign val="superscript"/>
        <sz val="16"/>
        <color theme="1"/>
        <rFont val="Calibri"/>
        <family val="2"/>
        <scheme val="minor"/>
      </rPr>
      <t>o</t>
    </r>
    <r>
      <rPr>
        <b/>
        <sz val="16"/>
        <color theme="1"/>
        <rFont val="Calibri"/>
        <family val="2"/>
        <scheme val="minor"/>
      </rPr>
      <t>C)</t>
    </r>
  </si>
  <si>
    <r>
      <t>x</t>
    </r>
    <r>
      <rPr>
        <b/>
        <vertAlign val="subscript"/>
        <sz val="16"/>
        <rFont val="Calibri"/>
        <family val="2"/>
        <scheme val="minor"/>
      </rPr>
      <t xml:space="preserve">D </t>
    </r>
    <r>
      <rPr>
        <b/>
        <sz val="16"/>
        <rFont val="Calibri"/>
        <family val="2"/>
        <scheme val="minor"/>
      </rPr>
      <t>(mol B/mol)</t>
    </r>
  </si>
  <si>
    <r>
      <t>T (</t>
    </r>
    <r>
      <rPr>
        <b/>
        <vertAlign val="superscript"/>
        <sz val="16"/>
        <rFont val="Calibri"/>
        <family val="2"/>
        <scheme val="minor"/>
      </rPr>
      <t>o</t>
    </r>
    <r>
      <rPr>
        <b/>
        <sz val="16"/>
        <rFont val="Calibri"/>
        <family val="2"/>
        <scheme val="minor"/>
      </rPr>
      <t>C)</t>
    </r>
  </si>
  <si>
    <r>
      <t>K</t>
    </r>
    <r>
      <rPr>
        <b/>
        <vertAlign val="subscript"/>
        <sz val="16"/>
        <rFont val="Calibri"/>
        <family val="2"/>
        <scheme val="minor"/>
      </rPr>
      <t>B</t>
    </r>
  </si>
  <si>
    <r>
      <t>K</t>
    </r>
    <r>
      <rPr>
        <b/>
        <vertAlign val="subscript"/>
        <sz val="16"/>
        <rFont val="Calibri"/>
        <family val="2"/>
        <scheme val="minor"/>
      </rPr>
      <t>T</t>
    </r>
  </si>
  <si>
    <r>
      <t>H</t>
    </r>
    <r>
      <rPr>
        <b/>
        <vertAlign val="subscript"/>
        <sz val="16"/>
        <rFont val="Calibri"/>
        <family val="2"/>
        <scheme val="minor"/>
      </rPr>
      <t xml:space="preserve">BL </t>
    </r>
    <r>
      <rPr>
        <b/>
        <sz val="16"/>
        <rFont val="Calibri"/>
        <family val="2"/>
        <scheme val="minor"/>
      </rPr>
      <t>(kJ/mol)</t>
    </r>
  </si>
  <si>
    <r>
      <t>H</t>
    </r>
    <r>
      <rPr>
        <b/>
        <vertAlign val="subscript"/>
        <sz val="16"/>
        <rFont val="Calibri"/>
        <family val="2"/>
        <scheme val="minor"/>
      </rPr>
      <t xml:space="preserve">TL </t>
    </r>
    <r>
      <rPr>
        <b/>
        <sz val="16"/>
        <rFont val="Calibri"/>
        <family val="2"/>
        <scheme val="minor"/>
      </rPr>
      <t>(kJ/mol)</t>
    </r>
  </si>
  <si>
    <r>
      <t>H</t>
    </r>
    <r>
      <rPr>
        <b/>
        <vertAlign val="subscript"/>
        <sz val="16"/>
        <rFont val="Calibri"/>
        <family val="2"/>
        <scheme val="minor"/>
      </rPr>
      <t xml:space="preserve">BV </t>
    </r>
    <r>
      <rPr>
        <b/>
        <sz val="16"/>
        <rFont val="Calibri"/>
        <family val="2"/>
        <scheme val="minor"/>
      </rPr>
      <t>(kJ/mol)</t>
    </r>
  </si>
  <si>
    <r>
      <t>H</t>
    </r>
    <r>
      <rPr>
        <b/>
        <vertAlign val="subscript"/>
        <sz val="16"/>
        <rFont val="Calibri"/>
        <family val="2"/>
        <scheme val="minor"/>
      </rPr>
      <t xml:space="preserve">TV </t>
    </r>
    <r>
      <rPr>
        <b/>
        <sz val="16"/>
        <rFont val="Calibri"/>
        <family val="2"/>
        <scheme val="minor"/>
      </rPr>
      <t>(kJ/mol)</t>
    </r>
  </si>
  <si>
    <r>
      <t>H</t>
    </r>
    <r>
      <rPr>
        <b/>
        <vertAlign val="subscript"/>
        <sz val="16"/>
        <rFont val="Calibri"/>
        <family val="2"/>
        <scheme val="minor"/>
      </rPr>
      <t>F</t>
    </r>
    <r>
      <rPr>
        <b/>
        <sz val="16"/>
        <rFont val="Calibri"/>
        <family val="2"/>
        <scheme val="minor"/>
      </rPr>
      <t xml:space="preserve"> (kJ)</t>
    </r>
  </si>
  <si>
    <r>
      <t>H</t>
    </r>
    <r>
      <rPr>
        <b/>
        <vertAlign val="subscript"/>
        <sz val="16"/>
        <rFont val="Calibri"/>
        <family val="2"/>
        <scheme val="minor"/>
      </rPr>
      <t xml:space="preserve">Li </t>
    </r>
    <r>
      <rPr>
        <b/>
        <sz val="16"/>
        <rFont val="Calibri"/>
        <family val="2"/>
        <scheme val="minor"/>
      </rPr>
      <t>(kJ)</t>
    </r>
  </si>
  <si>
    <r>
      <t>H</t>
    </r>
    <r>
      <rPr>
        <b/>
        <vertAlign val="subscript"/>
        <sz val="16"/>
        <rFont val="Calibri"/>
        <family val="2"/>
        <scheme val="minor"/>
      </rPr>
      <t xml:space="preserve">vi </t>
    </r>
    <r>
      <rPr>
        <b/>
        <sz val="16"/>
        <rFont val="Calibri"/>
        <family val="2"/>
        <scheme val="minor"/>
      </rPr>
      <t>(kJ)</t>
    </r>
  </si>
  <si>
    <r>
      <t>X</t>
    </r>
    <r>
      <rPr>
        <b/>
        <vertAlign val="subscript"/>
        <sz val="16"/>
        <rFont val="Calibri"/>
        <family val="2"/>
        <scheme val="minor"/>
      </rPr>
      <t>R</t>
    </r>
    <r>
      <rPr>
        <b/>
        <sz val="16"/>
        <rFont val="Calibri"/>
        <family val="2"/>
        <scheme val="minor"/>
      </rPr>
      <t xml:space="preserve"> by Overall Mol Bal</t>
    </r>
  </si>
  <si>
    <r>
      <t>Vapor C</t>
    </r>
    <r>
      <rPr>
        <b/>
        <vertAlign val="subscript"/>
        <sz val="16"/>
        <color theme="1"/>
        <rFont val="Calibri"/>
        <family val="2"/>
        <scheme val="minor"/>
      </rPr>
      <t>p</t>
    </r>
    <r>
      <rPr>
        <b/>
        <sz val="16"/>
        <color theme="1"/>
        <rFont val="Calibri"/>
        <family val="2"/>
        <scheme val="minor"/>
      </rPr>
      <t xml:space="preserve"> (kJ/mol </t>
    </r>
    <r>
      <rPr>
        <b/>
        <vertAlign val="superscript"/>
        <sz val="16"/>
        <color theme="1"/>
        <rFont val="Calibri"/>
        <family val="2"/>
        <scheme val="minor"/>
      </rPr>
      <t>o</t>
    </r>
    <r>
      <rPr>
        <b/>
        <sz val="16"/>
        <color theme="1"/>
        <rFont val="Calibri"/>
        <family val="2"/>
        <scheme val="minor"/>
      </rPr>
      <t>C)</t>
    </r>
  </si>
  <si>
    <r>
      <t>Liquid C</t>
    </r>
    <r>
      <rPr>
        <b/>
        <vertAlign val="subscript"/>
        <sz val="16"/>
        <color theme="1"/>
        <rFont val="Calibri"/>
        <family val="2"/>
        <scheme val="minor"/>
      </rPr>
      <t>p</t>
    </r>
    <r>
      <rPr>
        <b/>
        <sz val="16"/>
        <color theme="1"/>
        <rFont val="Calibri"/>
        <family val="2"/>
        <scheme val="minor"/>
      </rPr>
      <t xml:space="preserve"> (kJ/mol </t>
    </r>
    <r>
      <rPr>
        <b/>
        <vertAlign val="superscript"/>
        <sz val="16"/>
        <color theme="1"/>
        <rFont val="Calibri"/>
        <family val="2"/>
        <scheme val="minor"/>
      </rPr>
      <t>o</t>
    </r>
    <r>
      <rPr>
        <b/>
        <sz val="16"/>
        <color theme="1"/>
        <rFont val="Calibri"/>
        <family val="2"/>
        <scheme val="minor"/>
      </rPr>
      <t>C)</t>
    </r>
  </si>
  <si>
    <r>
      <t>T</t>
    </r>
    <r>
      <rPr>
        <b/>
        <vertAlign val="subscript"/>
        <sz val="16"/>
        <color theme="1"/>
        <rFont val="Calibri"/>
        <family val="2"/>
        <scheme val="minor"/>
      </rPr>
      <t>B</t>
    </r>
    <r>
      <rPr>
        <b/>
        <sz val="16"/>
        <color theme="1"/>
        <rFont val="Calibri"/>
        <family val="2"/>
        <scheme val="minor"/>
      </rPr>
      <t xml:space="preserve"> (</t>
    </r>
    <r>
      <rPr>
        <b/>
        <vertAlign val="superscript"/>
        <sz val="16"/>
        <color theme="1"/>
        <rFont val="Calibri"/>
        <family val="2"/>
        <scheme val="minor"/>
      </rPr>
      <t>o</t>
    </r>
    <r>
      <rPr>
        <b/>
        <sz val="16"/>
        <color theme="1"/>
        <rFont val="Calibri"/>
        <family val="2"/>
        <scheme val="minor"/>
      </rPr>
      <t>C)</t>
    </r>
  </si>
  <si>
    <r>
      <t>H</t>
    </r>
    <r>
      <rPr>
        <b/>
        <vertAlign val="subscript"/>
        <sz val="16"/>
        <color theme="1"/>
        <rFont val="Calibri"/>
        <family val="2"/>
        <scheme val="minor"/>
      </rPr>
      <t>vap</t>
    </r>
    <r>
      <rPr>
        <b/>
        <sz val="16"/>
        <color theme="1"/>
        <rFont val="Calibri"/>
        <family val="2"/>
        <scheme val="minor"/>
      </rPr>
      <t xml:space="preserve"> (kJ/mol)</t>
    </r>
  </si>
  <si>
    <r>
      <rPr>
        <b/>
        <sz val="16"/>
        <color theme="1"/>
        <rFont val="Symbol"/>
        <family val="1"/>
        <charset val="2"/>
      </rPr>
      <t>r</t>
    </r>
    <r>
      <rPr>
        <b/>
        <sz val="16"/>
        <color theme="1"/>
        <rFont val="Calibri"/>
        <family val="2"/>
        <scheme val="minor"/>
      </rPr>
      <t xml:space="preserve"> (kg/m</t>
    </r>
    <r>
      <rPr>
        <b/>
        <vertAlign val="superscript"/>
        <sz val="16"/>
        <color theme="1"/>
        <rFont val="Calibri"/>
        <family val="2"/>
        <scheme val="minor"/>
      </rPr>
      <t>3</t>
    </r>
    <r>
      <rPr>
        <b/>
        <sz val="16"/>
        <color theme="1"/>
        <rFont val="Calibri"/>
        <family val="2"/>
        <scheme val="minor"/>
      </rPr>
      <t>)</t>
    </r>
  </si>
  <si>
    <r>
      <t>(</t>
    </r>
    <r>
      <rPr>
        <b/>
        <vertAlign val="superscript"/>
        <sz val="16"/>
        <color theme="1"/>
        <rFont val="Calibri"/>
        <family val="2"/>
        <scheme val="minor"/>
      </rPr>
      <t>o</t>
    </r>
    <r>
      <rPr>
        <b/>
        <sz val="16"/>
        <color theme="1"/>
        <rFont val="Calibri"/>
        <family val="2"/>
        <scheme val="minor"/>
      </rPr>
      <t>C)</t>
    </r>
  </si>
  <si>
    <r>
      <t>(</t>
    </r>
    <r>
      <rPr>
        <b/>
        <vertAlign val="superscript"/>
        <sz val="16"/>
        <rFont val="Calibri"/>
        <family val="2"/>
        <scheme val="minor"/>
      </rPr>
      <t>o</t>
    </r>
    <r>
      <rPr>
        <b/>
        <sz val="16"/>
        <rFont val="Calibri"/>
        <family val="2"/>
        <scheme val="minor"/>
      </rPr>
      <t>C)</t>
    </r>
  </si>
  <si>
    <r>
      <t>45</t>
    </r>
    <r>
      <rPr>
        <b/>
        <vertAlign val="superscript"/>
        <sz val="16"/>
        <rFont val="Calibri"/>
        <family val="2"/>
        <scheme val="minor"/>
      </rPr>
      <t>o</t>
    </r>
    <r>
      <rPr>
        <b/>
        <sz val="16"/>
        <rFont val="Calibri"/>
        <family val="2"/>
        <scheme val="minor"/>
      </rPr>
      <t xml:space="preserve"> Line</t>
    </r>
  </si>
  <si>
    <t xml:space="preserve">  Go to "Flash" page to calculate the feed enthalpy. Follow instructions on that page. </t>
  </si>
  <si>
    <t>Data from Rigorous Page</t>
  </si>
  <si>
    <r>
      <t xml:space="preserve">  Come back to this page and run Solver. It will find V, T, and D or x</t>
    </r>
    <r>
      <rPr>
        <b/>
        <vertAlign val="subscript"/>
        <sz val="20"/>
        <rFont val="Calibri"/>
        <family val="2"/>
        <scheme val="minor"/>
      </rPr>
      <t>D</t>
    </r>
    <r>
      <rPr>
        <b/>
        <sz val="20"/>
        <rFont val="Calibri"/>
        <family val="2"/>
        <scheme val="minor"/>
      </rPr>
      <t xml:space="preserve"> values by iteration. </t>
    </r>
  </si>
  <si>
    <r>
      <t xml:space="preserve">  Instructions: In a standard experiment, specify R, F, z, T</t>
    </r>
    <r>
      <rPr>
        <b/>
        <vertAlign val="subscript"/>
        <sz val="20"/>
        <rFont val="Calibri"/>
        <family val="2"/>
        <scheme val="minor"/>
      </rPr>
      <t>F</t>
    </r>
    <r>
      <rPr>
        <b/>
        <sz val="20"/>
        <rFont val="Calibri"/>
        <family val="2"/>
        <scheme val="minor"/>
      </rPr>
      <t>, the feed stage, and either D or x</t>
    </r>
    <r>
      <rPr>
        <b/>
        <vertAlign val="subscript"/>
        <sz val="20"/>
        <rFont val="Calibri"/>
        <family val="2"/>
        <scheme val="minor"/>
      </rPr>
      <t>D</t>
    </r>
    <r>
      <rPr>
        <b/>
        <sz val="20"/>
        <rFont val="Calibri"/>
        <family val="2"/>
        <scheme val="minor"/>
      </rPr>
      <t xml:space="preserve">. </t>
    </r>
  </si>
  <si>
    <t>DP =</t>
  </si>
  <si>
    <t>BP =</t>
  </si>
  <si>
    <t>Flash Calculation</t>
  </si>
  <si>
    <t>Total MB =</t>
  </si>
  <si>
    <t>B MB =</t>
  </si>
  <si>
    <t>Feed Enthalpy</t>
  </si>
  <si>
    <t xml:space="preserve">Run Solver to calculate the feed enthalpy. It is automatically input to </t>
  </si>
  <si>
    <t xml:space="preserve">Rigorous page. </t>
  </si>
  <si>
    <t>Superheated</t>
  </si>
  <si>
    <t>Subcooled</t>
  </si>
  <si>
    <t>Mixed</t>
  </si>
  <si>
    <t>B17</t>
  </si>
  <si>
    <t>B7</t>
  </si>
  <si>
    <t>B18</t>
  </si>
  <si>
    <t>B8</t>
  </si>
  <si>
    <t>Explanation of Logic</t>
  </si>
  <si>
    <t>B16</t>
  </si>
  <si>
    <t>B14</t>
  </si>
  <si>
    <t xml:space="preserve">Values used to calculate </t>
  </si>
  <si>
    <t>the feed enthalpy</t>
  </si>
  <si>
    <t>Feed Flash</t>
  </si>
  <si>
    <t>Copied to or from Rigorous page</t>
  </si>
  <si>
    <r>
      <t>Calculation of T</t>
    </r>
    <r>
      <rPr>
        <b/>
        <vertAlign val="subscript"/>
        <sz val="16"/>
        <rFont val="Calibri"/>
        <family val="2"/>
        <scheme val="minor"/>
      </rPr>
      <t>DP</t>
    </r>
    <r>
      <rPr>
        <b/>
        <sz val="16"/>
        <rFont val="Calibri"/>
        <family val="2"/>
        <scheme val="minor"/>
      </rPr>
      <t xml:space="preserve"> and T</t>
    </r>
    <r>
      <rPr>
        <b/>
        <vertAlign val="subscript"/>
        <sz val="16"/>
        <rFont val="Calibri"/>
        <family val="2"/>
        <scheme val="minor"/>
      </rPr>
      <t>BP</t>
    </r>
    <r>
      <rPr>
        <b/>
        <sz val="16"/>
        <rFont val="Calibri"/>
        <family val="2"/>
        <scheme val="minor"/>
      </rPr>
      <t xml:space="preserve"> based on value of z.</t>
    </r>
  </si>
  <si>
    <r>
      <t>T</t>
    </r>
    <r>
      <rPr>
        <b/>
        <vertAlign val="subscript"/>
        <sz val="16"/>
        <rFont val="Calibri"/>
        <family val="2"/>
        <scheme val="minor"/>
      </rPr>
      <t>DP</t>
    </r>
    <r>
      <rPr>
        <b/>
        <sz val="16"/>
        <rFont val="Calibri"/>
        <family val="2"/>
        <scheme val="minor"/>
      </rPr>
      <t xml:space="preserve"> =</t>
    </r>
  </si>
  <si>
    <r>
      <t>T (</t>
    </r>
    <r>
      <rPr>
        <b/>
        <vertAlign val="superscript"/>
        <sz val="16"/>
        <rFont val="Calibri"/>
        <family val="2"/>
        <scheme val="minor"/>
      </rPr>
      <t>o</t>
    </r>
    <r>
      <rPr>
        <b/>
        <sz val="16"/>
        <rFont val="Calibri"/>
        <family val="2"/>
        <scheme val="minor"/>
      </rPr>
      <t>C) =</t>
    </r>
  </si>
  <si>
    <r>
      <t>T</t>
    </r>
    <r>
      <rPr>
        <b/>
        <vertAlign val="subscript"/>
        <sz val="16"/>
        <rFont val="Calibri"/>
        <family val="2"/>
        <scheme val="minor"/>
      </rPr>
      <t>BP</t>
    </r>
    <r>
      <rPr>
        <b/>
        <sz val="16"/>
        <rFont val="Calibri"/>
        <family val="2"/>
        <scheme val="minor"/>
      </rPr>
      <t xml:space="preserve"> =</t>
    </r>
  </si>
  <si>
    <r>
      <t>If T</t>
    </r>
    <r>
      <rPr>
        <b/>
        <vertAlign val="subscript"/>
        <sz val="16"/>
        <rFont val="Calibri"/>
        <family val="2"/>
        <scheme val="minor"/>
      </rPr>
      <t>F</t>
    </r>
    <r>
      <rPr>
        <b/>
        <sz val="16"/>
        <rFont val="Calibri"/>
        <family val="2"/>
        <scheme val="minor"/>
      </rPr>
      <t xml:space="preserve"> &gt; T</t>
    </r>
    <r>
      <rPr>
        <b/>
        <vertAlign val="subscript"/>
        <sz val="16"/>
        <rFont val="Calibri"/>
        <family val="2"/>
        <scheme val="minor"/>
      </rPr>
      <t>DP</t>
    </r>
    <r>
      <rPr>
        <b/>
        <sz val="16"/>
        <rFont val="Calibri"/>
        <family val="2"/>
        <scheme val="minor"/>
      </rPr>
      <t>, then 1, else 0</t>
    </r>
  </si>
  <si>
    <r>
      <t>K</t>
    </r>
    <r>
      <rPr>
        <b/>
        <vertAlign val="subscript"/>
        <sz val="16"/>
        <rFont val="Calibri"/>
        <family val="2"/>
        <scheme val="minor"/>
      </rPr>
      <t>B</t>
    </r>
    <r>
      <rPr>
        <b/>
        <sz val="16"/>
        <rFont val="Calibri"/>
        <family val="2"/>
        <scheme val="minor"/>
      </rPr>
      <t xml:space="preserve"> =</t>
    </r>
  </si>
  <si>
    <r>
      <t>K</t>
    </r>
    <r>
      <rPr>
        <b/>
        <vertAlign val="subscript"/>
        <sz val="16"/>
        <rFont val="Calibri"/>
        <family val="2"/>
        <scheme val="minor"/>
      </rPr>
      <t>T</t>
    </r>
    <r>
      <rPr>
        <b/>
        <sz val="16"/>
        <rFont val="Calibri"/>
        <family val="2"/>
        <scheme val="minor"/>
      </rPr>
      <t xml:space="preserve"> =</t>
    </r>
  </si>
  <si>
    <r>
      <t>H</t>
    </r>
    <r>
      <rPr>
        <b/>
        <vertAlign val="subscript"/>
        <sz val="16"/>
        <rFont val="Calibri"/>
        <family val="2"/>
        <scheme val="minor"/>
      </rPr>
      <t>BL</t>
    </r>
    <r>
      <rPr>
        <b/>
        <sz val="16"/>
        <rFont val="Calibri"/>
        <family val="2"/>
        <scheme val="minor"/>
      </rPr>
      <t xml:space="preserve"> (kJ/mol) =</t>
    </r>
  </si>
  <si>
    <r>
      <t>If T</t>
    </r>
    <r>
      <rPr>
        <b/>
        <vertAlign val="subscript"/>
        <sz val="16"/>
        <rFont val="Calibri"/>
        <family val="2"/>
        <scheme val="minor"/>
      </rPr>
      <t>F</t>
    </r>
    <r>
      <rPr>
        <b/>
        <sz val="16"/>
        <rFont val="Calibri"/>
        <family val="2"/>
        <scheme val="minor"/>
      </rPr>
      <t xml:space="preserve"> &lt; T</t>
    </r>
    <r>
      <rPr>
        <b/>
        <vertAlign val="subscript"/>
        <sz val="16"/>
        <rFont val="Calibri"/>
        <family val="2"/>
        <scheme val="minor"/>
      </rPr>
      <t>BP</t>
    </r>
    <r>
      <rPr>
        <b/>
        <sz val="16"/>
        <rFont val="Calibri"/>
        <family val="2"/>
        <scheme val="minor"/>
      </rPr>
      <t>, then 1, else 0</t>
    </r>
  </si>
  <si>
    <r>
      <t>H</t>
    </r>
    <r>
      <rPr>
        <b/>
        <vertAlign val="subscript"/>
        <sz val="16"/>
        <rFont val="Calibri"/>
        <family val="2"/>
        <scheme val="minor"/>
      </rPr>
      <t>TL</t>
    </r>
    <r>
      <rPr>
        <b/>
        <sz val="16"/>
        <rFont val="Calibri"/>
        <family val="2"/>
        <scheme val="minor"/>
      </rPr>
      <t xml:space="preserve"> (kJ/mol) =</t>
    </r>
  </si>
  <si>
    <r>
      <t>If T</t>
    </r>
    <r>
      <rPr>
        <b/>
        <vertAlign val="subscript"/>
        <sz val="16"/>
        <rFont val="Calibri"/>
        <family val="2"/>
        <scheme val="minor"/>
      </rPr>
      <t>F</t>
    </r>
    <r>
      <rPr>
        <b/>
        <sz val="16"/>
        <rFont val="Calibri"/>
        <family val="2"/>
        <scheme val="minor"/>
      </rPr>
      <t xml:space="preserve"> &gt;= T</t>
    </r>
    <r>
      <rPr>
        <b/>
        <vertAlign val="subscript"/>
        <sz val="16"/>
        <rFont val="Calibri"/>
        <family val="2"/>
        <scheme val="minor"/>
      </rPr>
      <t>BP</t>
    </r>
    <r>
      <rPr>
        <b/>
        <sz val="16"/>
        <rFont val="Calibri"/>
        <family val="2"/>
        <scheme val="minor"/>
      </rPr>
      <t xml:space="preserve"> and T</t>
    </r>
    <r>
      <rPr>
        <b/>
        <vertAlign val="subscript"/>
        <sz val="16"/>
        <rFont val="Calibri"/>
        <family val="2"/>
        <scheme val="minor"/>
      </rPr>
      <t>F</t>
    </r>
    <r>
      <rPr>
        <b/>
        <sz val="16"/>
        <rFont val="Calibri"/>
        <family val="2"/>
        <scheme val="minor"/>
      </rPr>
      <t xml:space="preserve"> &lt;= T</t>
    </r>
    <r>
      <rPr>
        <b/>
        <vertAlign val="subscript"/>
        <sz val="16"/>
        <rFont val="Calibri"/>
        <family val="2"/>
        <scheme val="minor"/>
      </rPr>
      <t>DP</t>
    </r>
    <r>
      <rPr>
        <b/>
        <sz val="16"/>
        <rFont val="Calibri"/>
        <family val="2"/>
        <scheme val="minor"/>
      </rPr>
      <t>, then 1, else 0</t>
    </r>
  </si>
  <si>
    <r>
      <t>H</t>
    </r>
    <r>
      <rPr>
        <b/>
        <vertAlign val="subscript"/>
        <sz val="16"/>
        <rFont val="Calibri"/>
        <family val="2"/>
        <scheme val="minor"/>
      </rPr>
      <t>BV</t>
    </r>
    <r>
      <rPr>
        <b/>
        <sz val="16"/>
        <rFont val="Calibri"/>
        <family val="2"/>
        <scheme val="minor"/>
      </rPr>
      <t xml:space="preserve"> (kJ/mol) =</t>
    </r>
  </si>
  <si>
    <r>
      <t>H</t>
    </r>
    <r>
      <rPr>
        <b/>
        <vertAlign val="subscript"/>
        <sz val="16"/>
        <rFont val="Calibri"/>
        <family val="2"/>
        <scheme val="minor"/>
      </rPr>
      <t>TV</t>
    </r>
    <r>
      <rPr>
        <b/>
        <sz val="16"/>
        <rFont val="Calibri"/>
        <family val="2"/>
        <scheme val="minor"/>
      </rPr>
      <t xml:space="preserve"> (kJ/mol) =</t>
    </r>
  </si>
  <si>
    <r>
      <t>H</t>
    </r>
    <r>
      <rPr>
        <b/>
        <vertAlign val="subscript"/>
        <sz val="16"/>
        <rFont val="Calibri"/>
        <family val="2"/>
        <scheme val="minor"/>
      </rPr>
      <t>F</t>
    </r>
    <r>
      <rPr>
        <b/>
        <sz val="16"/>
        <rFont val="Calibri"/>
        <family val="2"/>
        <scheme val="minor"/>
      </rPr>
      <t xml:space="preserve"> (kJ) =</t>
    </r>
  </si>
  <si>
    <t>Heading</t>
  </si>
  <si>
    <t>(Make any changes there!)</t>
  </si>
  <si>
    <t>Lewis Method (Benzene-Toluene)</t>
  </si>
  <si>
    <t>R =</t>
    <phoneticPr fontId="4" type="noConversion"/>
  </si>
  <si>
    <t>P (mm Hg) =</t>
    <phoneticPr fontId="4" type="noConversion"/>
  </si>
  <si>
    <t>Total Cond</t>
    <phoneticPr fontId="4" type="noConversion"/>
  </si>
  <si>
    <t>Reboiler</t>
    <phoneticPr fontId="4" type="noConversion"/>
  </si>
  <si>
    <t xml:space="preserve">Instructions: </t>
  </si>
  <si>
    <t>1) Use Solver to set BP/DP Criteria (Column N) to 1.000 and D to 0 by changing T (Column K) and something else.</t>
  </si>
  <si>
    <t>3) F and Z can be applied to any stage. Saturated liquid feed only.</t>
  </si>
  <si>
    <t>4) If you change the pressure, don't forget to change the pressure on the VLE diagrams.</t>
  </si>
  <si>
    <t>Operating Lines</t>
    <phoneticPr fontId="4" type="noConversion"/>
  </si>
  <si>
    <t>x</t>
    <phoneticPr fontId="4" type="noConversion"/>
  </si>
  <si>
    <r>
      <t>2) Set R (B3), x</t>
    </r>
    <r>
      <rPr>
        <b/>
        <vertAlign val="subscript"/>
        <sz val="16"/>
        <rFont val="Calibri"/>
        <family val="2"/>
        <scheme val="minor"/>
      </rPr>
      <t>D</t>
    </r>
    <r>
      <rPr>
        <b/>
        <sz val="16"/>
        <rFont val="Calibri"/>
        <family val="2"/>
        <scheme val="minor"/>
      </rPr>
      <t xml:space="preserve"> (F7), P (B4) and/or D (E7) according to specifications and let one of them be a variable (that "something else").</t>
    </r>
  </si>
  <si>
    <t>If the feed is subcooled or superheated, Solver will not find an aswer.</t>
  </si>
  <si>
    <t>However, the feed enthalpy will be correct.</t>
  </si>
  <si>
    <t xml:space="preserve">           </t>
  </si>
  <si>
    <t>Ref: Liquids at normal boiling point</t>
  </si>
  <si>
    <r>
      <rPr>
        <b/>
        <sz val="16"/>
        <rFont val="Symbol"/>
        <family val="1"/>
        <charset val="2"/>
      </rPr>
      <t>D</t>
    </r>
    <r>
      <rPr>
        <b/>
        <sz val="16"/>
        <rFont val="Calibri"/>
        <family val="2"/>
        <scheme val="minor"/>
      </rPr>
      <t xml:space="preserve"> =</t>
    </r>
  </si>
  <si>
    <r>
      <t>Results for R = 2, D = 50, F = 100, z = 0.5, T</t>
    </r>
    <r>
      <rPr>
        <b/>
        <vertAlign val="subscript"/>
        <sz val="16"/>
        <rFont val="Calibri"/>
        <family val="2"/>
        <scheme val="minor"/>
      </rPr>
      <t>F</t>
    </r>
    <r>
      <rPr>
        <b/>
        <sz val="16"/>
        <rFont val="Calibri"/>
        <family val="2"/>
        <scheme val="minor"/>
      </rPr>
      <t xml:space="preserve"> = 92, feed to tray 5 (stage 6)</t>
    </r>
  </si>
  <si>
    <r>
      <rPr>
        <b/>
        <u/>
        <sz val="16"/>
        <rFont val="Calibri"/>
        <family val="2"/>
        <scheme val="minor"/>
      </rPr>
      <t>Instructions</t>
    </r>
    <r>
      <rPr>
        <b/>
        <sz val="16"/>
        <rFont val="Calibri"/>
        <family val="2"/>
        <scheme val="minor"/>
      </rPr>
      <t>: Use Goal Seek twice to calculate T</t>
    </r>
    <r>
      <rPr>
        <b/>
        <vertAlign val="subscript"/>
        <sz val="16"/>
        <rFont val="Calibri"/>
        <family val="2"/>
        <scheme val="minor"/>
      </rPr>
      <t>DP</t>
    </r>
    <r>
      <rPr>
        <b/>
        <sz val="16"/>
        <rFont val="Calibri"/>
        <family val="2"/>
        <scheme val="minor"/>
      </rPr>
      <t xml:space="preserve"> and T</t>
    </r>
    <r>
      <rPr>
        <b/>
        <vertAlign val="subscript"/>
        <sz val="16"/>
        <rFont val="Calibri"/>
        <family val="2"/>
        <scheme val="minor"/>
      </rPr>
      <t>BP</t>
    </r>
    <r>
      <rPr>
        <b/>
        <sz val="16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</si>
</sst>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0.00000"/>
    <numFmt numFmtId="168" formatCode="0.000000"/>
  </numFmts>
  <fonts count="27" x14ac:knownFonts="1">
    <font>
      <sz val="10"/>
      <name val="Verdana"/>
    </font>
    <font>
      <sz val="8"/>
      <name val="Verdana"/>
      <family val="2"/>
    </font>
    <font>
      <sz val="16"/>
      <name val="Verdana"/>
      <family val="2"/>
    </font>
    <font>
      <vertAlign val="subscript"/>
      <sz val="16"/>
      <name val="Verdana"/>
      <family val="2"/>
    </font>
    <font>
      <vertAlign val="superscript"/>
      <sz val="16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b/>
      <sz val="16"/>
      <name val="Calibri"/>
      <family val="2"/>
      <scheme val="minor"/>
    </font>
    <font>
      <b/>
      <sz val="10"/>
      <name val="Verdana"/>
      <family val="2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vertAlign val="subscript"/>
      <sz val="16"/>
      <name val="Calibri"/>
      <family val="2"/>
      <scheme val="minor"/>
    </font>
    <font>
      <b/>
      <vertAlign val="superscript"/>
      <sz val="16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6"/>
      <color theme="1"/>
      <name val="Symbol"/>
      <family val="1"/>
      <charset val="2"/>
    </font>
    <font>
      <b/>
      <vertAlign val="subscript"/>
      <sz val="20"/>
      <name val="Calibri"/>
      <family val="2"/>
      <scheme val="minor"/>
    </font>
    <font>
      <b/>
      <u/>
      <sz val="16"/>
      <name val="Calibri"/>
      <family val="2"/>
      <scheme val="minor"/>
    </font>
    <font>
      <sz val="10"/>
      <name val="Verdana"/>
      <family val="2"/>
    </font>
    <font>
      <b/>
      <sz val="16"/>
      <name val="Verdana"/>
      <family val="2"/>
    </font>
    <font>
      <b/>
      <sz val="16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/>
      <right/>
      <top/>
      <bottom style="thick">
        <color theme="7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theme="9" tint="-0.499984740745262"/>
      </left>
      <right/>
      <top/>
      <bottom style="thick">
        <color theme="7"/>
      </bottom>
      <diagonal/>
    </border>
    <border>
      <left style="thick">
        <color theme="9" tint="-0.499984740745262"/>
      </left>
      <right/>
      <top style="thick">
        <color theme="7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 style="thick">
        <color theme="4" tint="-0.499984740745262"/>
      </left>
      <right/>
      <top style="thick">
        <color theme="7"/>
      </top>
      <bottom/>
      <diagonal/>
    </border>
    <border>
      <left/>
      <right/>
      <top style="thick">
        <color rgb="FF7030A0"/>
      </top>
      <bottom/>
      <diagonal/>
    </border>
    <border>
      <left style="thick">
        <color theme="4" tint="-0.499984740745262"/>
      </left>
      <right/>
      <top/>
      <bottom style="thick">
        <color theme="7"/>
      </bottom>
      <diagonal/>
    </border>
    <border>
      <left/>
      <right style="thick">
        <color theme="9" tint="-0.499984740745262"/>
      </right>
      <top style="thick">
        <color theme="4" tint="-0.499984740745262"/>
      </top>
      <bottom/>
      <diagonal/>
    </border>
    <border>
      <left/>
      <right style="thick">
        <color theme="9" tint="-0.499984740745262"/>
      </right>
      <top/>
      <bottom style="thick">
        <color theme="7"/>
      </bottom>
      <diagonal/>
    </border>
    <border>
      <left/>
      <right style="thick">
        <color theme="9" tint="-0.499984740745262"/>
      </right>
      <top style="thick">
        <color theme="7"/>
      </top>
      <bottom/>
      <diagonal/>
    </border>
    <border>
      <left/>
      <right style="thick">
        <color theme="9" tint="-0.499984740745262"/>
      </right>
      <top/>
      <bottom style="thick">
        <color theme="4" tint="-0.499984740745262"/>
      </bottom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</borders>
  <cellStyleXfs count="2">
    <xf numFmtId="0" fontId="0" fillId="0" borderId="0"/>
    <xf numFmtId="0" fontId="24" fillId="0" borderId="0"/>
  </cellStyleXfs>
  <cellXfs count="347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3" borderId="0" xfId="0" applyFont="1" applyFill="1" applyBorder="1"/>
    <xf numFmtId="0" fontId="2" fillId="3" borderId="19" xfId="0" applyFont="1" applyFill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/>
    <xf numFmtId="0" fontId="2" fillId="0" borderId="34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6" fillId="0" borderId="0" xfId="0" applyFont="1"/>
    <xf numFmtId="0" fontId="2" fillId="3" borderId="17" xfId="0" applyFont="1" applyFill="1" applyBorder="1"/>
    <xf numFmtId="0" fontId="2" fillId="3" borderId="20" xfId="0" applyFont="1" applyFill="1" applyBorder="1"/>
    <xf numFmtId="0" fontId="7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8" fillId="3" borderId="15" xfId="0" applyFont="1" applyFill="1" applyBorder="1"/>
    <xf numFmtId="0" fontId="8" fillId="3" borderId="16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/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0" xfId="0" applyFont="1" applyFill="1" applyBorder="1"/>
    <xf numFmtId="0" fontId="9" fillId="3" borderId="17" xfId="0" applyFont="1" applyFill="1" applyBorder="1"/>
    <xf numFmtId="11" fontId="9" fillId="3" borderId="0" xfId="0" applyNumberFormat="1" applyFont="1" applyFill="1" applyBorder="1" applyAlignment="1">
      <alignment horizontal="center"/>
    </xf>
    <xf numFmtId="11" fontId="9" fillId="3" borderId="16" xfId="0" applyNumberFormat="1" applyFont="1" applyFill="1" applyBorder="1" applyAlignment="1">
      <alignment horizontal="center"/>
    </xf>
    <xf numFmtId="11" fontId="9" fillId="3" borderId="17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164" fontId="9" fillId="3" borderId="17" xfId="0" applyNumberFormat="1" applyFont="1" applyFill="1" applyBorder="1" applyAlignment="1">
      <alignment horizontal="center"/>
    </xf>
    <xf numFmtId="11" fontId="9" fillId="3" borderId="19" xfId="0" applyNumberFormat="1" applyFont="1" applyFill="1" applyBorder="1" applyAlignment="1">
      <alignment horizontal="center"/>
    </xf>
    <xf numFmtId="11" fontId="9" fillId="3" borderId="18" xfId="0" applyNumberFormat="1" applyFont="1" applyFill="1" applyBorder="1" applyAlignment="1">
      <alignment horizontal="center"/>
    </xf>
    <xf numFmtId="11" fontId="9" fillId="3" borderId="20" xfId="0" applyNumberFormat="1" applyFont="1" applyFill="1" applyBorder="1" applyAlignment="1">
      <alignment horizontal="center"/>
    </xf>
    <xf numFmtId="2" fontId="9" fillId="3" borderId="19" xfId="0" applyNumberFormat="1" applyFont="1" applyFill="1" applyBorder="1" applyAlignment="1">
      <alignment horizontal="center"/>
    </xf>
    <xf numFmtId="165" fontId="9" fillId="3" borderId="19" xfId="0" applyNumberFormat="1" applyFont="1" applyFill="1" applyBorder="1" applyAlignment="1">
      <alignment horizontal="center"/>
    </xf>
    <xf numFmtId="1" fontId="9" fillId="3" borderId="19" xfId="0" applyNumberFormat="1" applyFont="1" applyFill="1" applyBorder="1" applyAlignment="1">
      <alignment horizontal="center"/>
    </xf>
    <xf numFmtId="164" fontId="9" fillId="3" borderId="20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right"/>
    </xf>
    <xf numFmtId="166" fontId="14" fillId="4" borderId="10" xfId="0" applyNumberFormat="1" applyFont="1" applyFill="1" applyBorder="1" applyAlignment="1">
      <alignment horizontal="left"/>
    </xf>
    <xf numFmtId="0" fontId="14" fillId="0" borderId="0" xfId="0" applyFont="1"/>
    <xf numFmtId="0" fontId="14" fillId="4" borderId="9" xfId="0" applyFont="1" applyFill="1" applyBorder="1"/>
    <xf numFmtId="0" fontId="14" fillId="4" borderId="21" xfId="0" applyFont="1" applyFill="1" applyBorder="1"/>
    <xf numFmtId="0" fontId="14" fillId="4" borderId="10" xfId="0" applyFont="1" applyFill="1" applyBorder="1"/>
    <xf numFmtId="0" fontId="15" fillId="0" borderId="0" xfId="0" applyFont="1"/>
    <xf numFmtId="0" fontId="14" fillId="4" borderId="11" xfId="0" applyFont="1" applyFill="1" applyBorder="1" applyAlignment="1">
      <alignment horizontal="right"/>
    </xf>
    <xf numFmtId="0" fontId="14" fillId="4" borderId="12" xfId="0" applyFont="1" applyFill="1" applyBorder="1" applyAlignment="1">
      <alignment horizontal="left"/>
    </xf>
    <xf numFmtId="0" fontId="16" fillId="2" borderId="22" xfId="0" applyFont="1" applyFill="1" applyBorder="1"/>
    <xf numFmtId="0" fontId="16" fillId="2" borderId="23" xfId="0" applyFont="1" applyFill="1" applyBorder="1"/>
    <xf numFmtId="0" fontId="16" fillId="2" borderId="24" xfId="0" applyFont="1" applyFill="1" applyBorder="1"/>
    <xf numFmtId="0" fontId="16" fillId="4" borderId="11" xfId="0" applyFont="1" applyFill="1" applyBorder="1" applyAlignment="1">
      <alignment horizontal="center"/>
    </xf>
    <xf numFmtId="166" fontId="14" fillId="4" borderId="12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" fontId="14" fillId="4" borderId="28" xfId="0" applyNumberFormat="1" applyFont="1" applyFill="1" applyBorder="1" applyAlignment="1">
      <alignment horizontal="center"/>
    </xf>
    <xf numFmtId="165" fontId="14" fillId="4" borderId="29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166" fontId="14" fillId="4" borderId="3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11" fontId="14" fillId="2" borderId="0" xfId="0" applyNumberFormat="1" applyFont="1" applyFill="1" applyBorder="1" applyAlignment="1">
      <alignment horizontal="center"/>
    </xf>
    <xf numFmtId="0" fontId="14" fillId="2" borderId="0" xfId="0" quotePrefix="1" applyFont="1" applyFill="1" applyBorder="1" applyAlignment="1">
      <alignment horizontal="center"/>
    </xf>
    <xf numFmtId="166" fontId="14" fillId="2" borderId="5" xfId="0" applyNumberFormat="1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166" fontId="14" fillId="4" borderId="31" xfId="0" applyNumberFormat="1" applyFont="1" applyFill="1" applyBorder="1" applyAlignment="1">
      <alignment horizontal="center"/>
    </xf>
    <xf numFmtId="167" fontId="14" fillId="2" borderId="5" xfId="0" applyNumberFormat="1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166" fontId="14" fillId="4" borderId="32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/>
    <xf numFmtId="0" fontId="15" fillId="2" borderId="5" xfId="0" applyFont="1" applyFill="1" applyBorder="1"/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right"/>
    </xf>
    <xf numFmtId="165" fontId="14" fillId="2" borderId="7" xfId="0" applyNumberFormat="1" applyFont="1" applyFill="1" applyBorder="1" applyAlignment="1">
      <alignment horizontal="center"/>
    </xf>
    <xf numFmtId="0" fontId="14" fillId="2" borderId="7" xfId="0" applyFont="1" applyFill="1" applyBorder="1"/>
    <xf numFmtId="0" fontId="15" fillId="2" borderId="7" xfId="0" applyFont="1" applyFill="1" applyBorder="1"/>
    <xf numFmtId="0" fontId="15" fillId="2" borderId="8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3" borderId="13" xfId="0" applyFont="1" applyFill="1" applyBorder="1"/>
    <xf numFmtId="0" fontId="14" fillId="3" borderId="14" xfId="0" applyFont="1" applyFill="1" applyBorder="1"/>
    <xf numFmtId="0" fontId="14" fillId="3" borderId="15" xfId="0" applyFont="1" applyFill="1" applyBorder="1"/>
    <xf numFmtId="0" fontId="16" fillId="3" borderId="14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3" borderId="16" xfId="0" applyFont="1" applyFill="1" applyBorder="1"/>
    <xf numFmtId="0" fontId="14" fillId="3" borderId="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6" fillId="3" borderId="0" xfId="0" applyFont="1" applyFill="1" applyBorder="1"/>
    <xf numFmtId="0" fontId="16" fillId="3" borderId="17" xfId="0" applyFont="1" applyFill="1" applyBorder="1"/>
    <xf numFmtId="11" fontId="16" fillId="3" borderId="0" xfId="0" applyNumberFormat="1" applyFont="1" applyFill="1" applyBorder="1" applyAlignment="1">
      <alignment horizontal="center"/>
    </xf>
    <xf numFmtId="11" fontId="16" fillId="3" borderId="16" xfId="0" applyNumberFormat="1" applyFont="1" applyFill="1" applyBorder="1" applyAlignment="1">
      <alignment horizontal="center"/>
    </xf>
    <xf numFmtId="11" fontId="16" fillId="3" borderId="17" xfId="0" applyNumberFormat="1" applyFont="1" applyFill="1" applyBorder="1" applyAlignment="1">
      <alignment horizontal="center"/>
    </xf>
    <xf numFmtId="2" fontId="16" fillId="3" borderId="0" xfId="0" applyNumberFormat="1" applyFont="1" applyFill="1" applyBorder="1" applyAlignment="1">
      <alignment horizontal="center"/>
    </xf>
    <xf numFmtId="165" fontId="16" fillId="3" borderId="0" xfId="0" applyNumberFormat="1" applyFont="1" applyFill="1" applyBorder="1" applyAlignment="1">
      <alignment horizontal="center"/>
    </xf>
    <xf numFmtId="164" fontId="16" fillId="3" borderId="17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3" borderId="18" xfId="0" applyFont="1" applyFill="1" applyBorder="1"/>
    <xf numFmtId="0" fontId="14" fillId="3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11" fontId="16" fillId="3" borderId="19" xfId="0" applyNumberFormat="1" applyFont="1" applyFill="1" applyBorder="1" applyAlignment="1">
      <alignment horizontal="center"/>
    </xf>
    <xf numFmtId="11" fontId="16" fillId="3" borderId="18" xfId="0" applyNumberFormat="1" applyFont="1" applyFill="1" applyBorder="1" applyAlignment="1">
      <alignment horizontal="center"/>
    </xf>
    <xf numFmtId="11" fontId="16" fillId="3" borderId="20" xfId="0" applyNumberFormat="1" applyFont="1" applyFill="1" applyBorder="1" applyAlignment="1">
      <alignment horizontal="center"/>
    </xf>
    <xf numFmtId="2" fontId="16" fillId="3" borderId="19" xfId="0" applyNumberFormat="1" applyFont="1" applyFill="1" applyBorder="1" applyAlignment="1">
      <alignment horizontal="center"/>
    </xf>
    <xf numFmtId="165" fontId="16" fillId="3" borderId="19" xfId="0" applyNumberFormat="1" applyFont="1" applyFill="1" applyBorder="1" applyAlignment="1">
      <alignment horizontal="center"/>
    </xf>
    <xf numFmtId="1" fontId="16" fillId="3" borderId="19" xfId="0" applyNumberFormat="1" applyFont="1" applyFill="1" applyBorder="1" applyAlignment="1">
      <alignment horizontal="center"/>
    </xf>
    <xf numFmtId="164" fontId="16" fillId="3" borderId="2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0" fontId="14" fillId="3" borderId="15" xfId="0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164" fontId="14" fillId="3" borderId="0" xfId="0" applyNumberFormat="1" applyFont="1" applyFill="1" applyBorder="1" applyAlignment="1">
      <alignment horizontal="center"/>
    </xf>
    <xf numFmtId="164" fontId="14" fillId="3" borderId="17" xfId="0" applyNumberFormat="1" applyFont="1" applyFill="1" applyBorder="1" applyAlignment="1">
      <alignment horizontal="center"/>
    </xf>
    <xf numFmtId="164" fontId="14" fillId="3" borderId="16" xfId="0" applyNumberFormat="1" applyFont="1" applyFill="1" applyBorder="1" applyAlignment="1">
      <alignment horizontal="center"/>
    </xf>
    <xf numFmtId="49" fontId="14" fillId="3" borderId="16" xfId="0" applyNumberFormat="1" applyFont="1" applyFill="1" applyBorder="1" applyAlignment="1">
      <alignment horizontal="center"/>
    </xf>
    <xf numFmtId="1" fontId="14" fillId="3" borderId="0" xfId="0" applyNumberFormat="1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horizontal="center"/>
    </xf>
    <xf numFmtId="166" fontId="14" fillId="3" borderId="0" xfId="0" applyNumberFormat="1" applyFont="1" applyFill="1" applyBorder="1" applyAlignment="1">
      <alignment horizontal="center"/>
    </xf>
    <xf numFmtId="49" fontId="14" fillId="3" borderId="17" xfId="0" applyNumberFormat="1" applyFont="1" applyFill="1" applyBorder="1" applyAlignment="1">
      <alignment horizontal="center"/>
    </xf>
    <xf numFmtId="0" fontId="15" fillId="3" borderId="14" xfId="0" applyFont="1" applyFill="1" applyBorder="1"/>
    <xf numFmtId="0" fontId="15" fillId="3" borderId="15" xfId="0" applyFont="1" applyFill="1" applyBorder="1"/>
    <xf numFmtId="0" fontId="14" fillId="3" borderId="0" xfId="0" applyFont="1" applyFill="1" applyBorder="1"/>
    <xf numFmtId="0" fontId="14" fillId="3" borderId="19" xfId="0" applyFont="1" applyFill="1" applyBorder="1"/>
    <xf numFmtId="0" fontId="14" fillId="3" borderId="20" xfId="0" applyFont="1" applyFill="1" applyBorder="1"/>
    <xf numFmtId="0" fontId="16" fillId="5" borderId="35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4" fillId="6" borderId="38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39" xfId="0" applyFont="1" applyFill="1" applyBorder="1" applyAlignment="1">
      <alignment horizontal="center"/>
    </xf>
    <xf numFmtId="0" fontId="15" fillId="3" borderId="16" xfId="0" applyFont="1" applyFill="1" applyBorder="1"/>
    <xf numFmtId="0" fontId="16" fillId="5" borderId="38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39" xfId="0" applyFont="1" applyFill="1" applyBorder="1" applyAlignment="1">
      <alignment horizontal="center"/>
    </xf>
    <xf numFmtId="166" fontId="16" fillId="5" borderId="0" xfId="0" applyNumberFormat="1" applyFont="1" applyFill="1" applyBorder="1" applyAlignment="1">
      <alignment horizontal="center"/>
    </xf>
    <xf numFmtId="165" fontId="14" fillId="5" borderId="39" xfId="0" applyNumberFormat="1" applyFont="1" applyFill="1" applyBorder="1" applyAlignment="1">
      <alignment horizontal="center"/>
    </xf>
    <xf numFmtId="165" fontId="14" fillId="6" borderId="0" xfId="0" applyNumberFormat="1" applyFont="1" applyFill="1" applyBorder="1" applyAlignment="1">
      <alignment horizontal="center"/>
    </xf>
    <xf numFmtId="166" fontId="14" fillId="6" borderId="39" xfId="0" applyNumberFormat="1" applyFont="1" applyFill="1" applyBorder="1" applyAlignment="1">
      <alignment horizontal="center"/>
    </xf>
    <xf numFmtId="165" fontId="14" fillId="5" borderId="0" xfId="0" applyNumberFormat="1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164" fontId="14" fillId="3" borderId="19" xfId="0" applyNumberFormat="1" applyFont="1" applyFill="1" applyBorder="1" applyAlignment="1">
      <alignment horizontal="center"/>
    </xf>
    <xf numFmtId="164" fontId="14" fillId="3" borderId="20" xfId="0" applyNumberFormat="1" applyFont="1" applyFill="1" applyBorder="1" applyAlignment="1">
      <alignment horizontal="center"/>
    </xf>
    <xf numFmtId="49" fontId="14" fillId="3" borderId="18" xfId="0" applyNumberFormat="1" applyFont="1" applyFill="1" applyBorder="1" applyAlignment="1">
      <alignment horizontal="center"/>
    </xf>
    <xf numFmtId="1" fontId="14" fillId="3" borderId="19" xfId="0" applyNumberFormat="1" applyFont="1" applyFill="1" applyBorder="1" applyAlignment="1">
      <alignment horizontal="center"/>
    </xf>
    <xf numFmtId="49" fontId="14" fillId="3" borderId="19" xfId="0" applyNumberFormat="1" applyFont="1" applyFill="1" applyBorder="1" applyAlignment="1">
      <alignment horizontal="center"/>
    </xf>
    <xf numFmtId="166" fontId="14" fillId="3" borderId="19" xfId="0" applyNumberFormat="1" applyFont="1" applyFill="1" applyBorder="1" applyAlignment="1">
      <alignment horizontal="center"/>
    </xf>
    <xf numFmtId="49" fontId="14" fillId="3" borderId="20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164" fontId="14" fillId="3" borderId="14" xfId="0" applyNumberFormat="1" applyFont="1" applyFill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166" fontId="16" fillId="5" borderId="41" xfId="0" applyNumberFormat="1" applyFont="1" applyFill="1" applyBorder="1" applyAlignment="1">
      <alignment horizontal="center"/>
    </xf>
    <xf numFmtId="165" fontId="14" fillId="5" borderId="41" xfId="0" applyNumberFormat="1" applyFont="1" applyFill="1" applyBorder="1" applyAlignment="1">
      <alignment horizontal="center"/>
    </xf>
    <xf numFmtId="165" fontId="14" fillId="5" borderId="42" xfId="0" applyNumberFormat="1" applyFont="1" applyFill="1" applyBorder="1" applyAlignment="1">
      <alignment horizontal="center"/>
    </xf>
    <xf numFmtId="0" fontId="14" fillId="6" borderId="40" xfId="0" applyFont="1" applyFill="1" applyBorder="1" applyAlignment="1">
      <alignment horizontal="center"/>
    </xf>
    <xf numFmtId="165" fontId="14" fillId="6" borderId="41" xfId="0" applyNumberFormat="1" applyFont="1" applyFill="1" applyBorder="1" applyAlignment="1">
      <alignment horizontal="center"/>
    </xf>
    <xf numFmtId="0" fontId="14" fillId="6" borderId="41" xfId="0" applyFont="1" applyFill="1" applyBorder="1" applyAlignment="1">
      <alignment horizontal="center"/>
    </xf>
    <xf numFmtId="166" fontId="14" fillId="6" borderId="42" xfId="0" applyNumberFormat="1" applyFont="1" applyFill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3" borderId="18" xfId="0" applyNumberFormat="1" applyFont="1" applyFill="1" applyBorder="1" applyAlignment="1">
      <alignment horizontal="center"/>
    </xf>
    <xf numFmtId="0" fontId="15" fillId="0" borderId="0" xfId="0" applyFont="1" applyAlignment="1"/>
    <xf numFmtId="0" fontId="14" fillId="3" borderId="16" xfId="0" applyFont="1" applyFill="1" applyBorder="1" applyAlignment="1">
      <alignment horizontal="right"/>
    </xf>
    <xf numFmtId="0" fontId="14" fillId="3" borderId="18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166" fontId="14" fillId="3" borderId="17" xfId="0" applyNumberFormat="1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left"/>
    </xf>
    <xf numFmtId="165" fontId="14" fillId="3" borderId="20" xfId="0" applyNumberFormat="1" applyFont="1" applyFill="1" applyBorder="1" applyAlignment="1">
      <alignment horizontal="left"/>
    </xf>
    <xf numFmtId="0" fontId="14" fillId="7" borderId="16" xfId="0" applyFont="1" applyFill="1" applyBorder="1" applyAlignment="1">
      <alignment horizontal="right"/>
    </xf>
    <xf numFmtId="0" fontId="14" fillId="7" borderId="17" xfId="0" applyFont="1" applyFill="1" applyBorder="1" applyAlignment="1">
      <alignment horizontal="left"/>
    </xf>
    <xf numFmtId="0" fontId="14" fillId="7" borderId="18" xfId="0" applyFont="1" applyFill="1" applyBorder="1" applyAlignment="1">
      <alignment horizontal="right"/>
    </xf>
    <xf numFmtId="165" fontId="14" fillId="2" borderId="44" xfId="0" applyNumberFormat="1" applyFont="1" applyFill="1" applyBorder="1" applyAlignment="1">
      <alignment horizontal="left"/>
    </xf>
    <xf numFmtId="165" fontId="14" fillId="2" borderId="46" xfId="0" applyNumberFormat="1" applyFont="1" applyFill="1" applyBorder="1" applyAlignment="1">
      <alignment horizontal="left"/>
    </xf>
    <xf numFmtId="0" fontId="14" fillId="2" borderId="35" xfId="0" applyFont="1" applyFill="1" applyBorder="1" applyAlignment="1">
      <alignment horizontal="right"/>
    </xf>
    <xf numFmtId="0" fontId="14" fillId="2" borderId="50" xfId="0" applyFont="1" applyFill="1" applyBorder="1" applyAlignment="1">
      <alignment horizontal="right"/>
    </xf>
    <xf numFmtId="0" fontId="14" fillId="2" borderId="51" xfId="0" applyFont="1" applyFill="1" applyBorder="1" applyAlignment="1">
      <alignment horizontal="right"/>
    </xf>
    <xf numFmtId="0" fontId="14" fillId="2" borderId="40" xfId="0" applyFont="1" applyFill="1" applyBorder="1" applyAlignment="1">
      <alignment horizontal="right"/>
    </xf>
    <xf numFmtId="0" fontId="14" fillId="7" borderId="52" xfId="0" applyFont="1" applyFill="1" applyBorder="1"/>
    <xf numFmtId="0" fontId="14" fillId="7" borderId="53" xfId="0" applyFont="1" applyFill="1" applyBorder="1"/>
    <xf numFmtId="0" fontId="14" fillId="7" borderId="54" xfId="0" applyFont="1" applyFill="1" applyBorder="1"/>
    <xf numFmtId="0" fontId="14" fillId="8" borderId="55" xfId="0" applyFont="1" applyFill="1" applyBorder="1"/>
    <xf numFmtId="0" fontId="14" fillId="8" borderId="49" xfId="0" applyFont="1" applyFill="1" applyBorder="1"/>
    <xf numFmtId="165" fontId="14" fillId="2" borderId="36" xfId="0" applyNumberFormat="1" applyFont="1" applyFill="1" applyBorder="1" applyAlignment="1">
      <alignment horizontal="left"/>
    </xf>
    <xf numFmtId="165" fontId="14" fillId="2" borderId="41" xfId="0" applyNumberFormat="1" applyFont="1" applyFill="1" applyBorder="1" applyAlignment="1">
      <alignment horizontal="left"/>
    </xf>
    <xf numFmtId="0" fontId="14" fillId="2" borderId="35" xfId="0" applyFont="1" applyFill="1" applyBorder="1"/>
    <xf numFmtId="0" fontId="14" fillId="2" borderId="37" xfId="0" applyFont="1" applyFill="1" applyBorder="1"/>
    <xf numFmtId="0" fontId="14" fillId="2" borderId="38" xfId="0" applyFont="1" applyFill="1" applyBorder="1" applyAlignment="1">
      <alignment horizontal="right"/>
    </xf>
    <xf numFmtId="167" fontId="14" fillId="2" borderId="39" xfId="0" applyNumberFormat="1" applyFont="1" applyFill="1" applyBorder="1" applyAlignment="1">
      <alignment horizontal="left"/>
    </xf>
    <xf numFmtId="167" fontId="14" fillId="2" borderId="42" xfId="0" applyNumberFormat="1" applyFont="1" applyFill="1" applyBorder="1" applyAlignment="1">
      <alignment horizontal="left"/>
    </xf>
    <xf numFmtId="0" fontId="15" fillId="2" borderId="35" xfId="0" applyFont="1" applyFill="1" applyBorder="1"/>
    <xf numFmtId="0" fontId="15" fillId="2" borderId="37" xfId="0" applyFont="1" applyFill="1" applyBorder="1"/>
    <xf numFmtId="0" fontId="14" fillId="2" borderId="23" xfId="0" applyFont="1" applyFill="1" applyBorder="1" applyAlignment="1">
      <alignment horizontal="right"/>
    </xf>
    <xf numFmtId="164" fontId="14" fillId="2" borderId="24" xfId="0" applyNumberFormat="1" applyFont="1" applyFill="1" applyBorder="1" applyAlignment="1">
      <alignment horizontal="left"/>
    </xf>
    <xf numFmtId="165" fontId="14" fillId="4" borderId="0" xfId="0" applyNumberFormat="1" applyFont="1" applyFill="1" applyBorder="1" applyAlignment="1">
      <alignment horizontal="left"/>
    </xf>
    <xf numFmtId="166" fontId="14" fillId="4" borderId="0" xfId="0" applyNumberFormat="1" applyFont="1" applyFill="1" applyBorder="1" applyAlignment="1">
      <alignment horizontal="left"/>
    </xf>
    <xf numFmtId="164" fontId="14" fillId="2" borderId="36" xfId="0" applyNumberFormat="1" applyFont="1" applyFill="1" applyBorder="1" applyAlignment="1">
      <alignment horizontal="left"/>
    </xf>
    <xf numFmtId="0" fontId="14" fillId="4" borderId="25" xfId="0" applyFont="1" applyFill="1" applyBorder="1" applyAlignment="1">
      <alignment horizontal="right"/>
    </xf>
    <xf numFmtId="165" fontId="14" fillId="4" borderId="21" xfId="0" applyNumberFormat="1" applyFont="1" applyFill="1" applyBorder="1" applyAlignment="1">
      <alignment horizontal="left"/>
    </xf>
    <xf numFmtId="166" fontId="14" fillId="4" borderId="27" xfId="0" applyNumberFormat="1" applyFont="1" applyFill="1" applyBorder="1" applyAlignment="1">
      <alignment horizontal="left"/>
    </xf>
    <xf numFmtId="168" fontId="14" fillId="2" borderId="37" xfId="0" applyNumberFormat="1" applyFont="1" applyFill="1" applyBorder="1" applyAlignment="1">
      <alignment horizontal="left"/>
    </xf>
    <xf numFmtId="168" fontId="14" fillId="2" borderId="39" xfId="0" applyNumberFormat="1" applyFont="1" applyFill="1" applyBorder="1" applyAlignment="1">
      <alignment horizontal="left"/>
    </xf>
    <xf numFmtId="168" fontId="14" fillId="2" borderId="42" xfId="0" applyNumberFormat="1" applyFont="1" applyFill="1" applyBorder="1" applyAlignment="1">
      <alignment horizontal="left"/>
    </xf>
    <xf numFmtId="2" fontId="14" fillId="2" borderId="39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0" applyFont="1" applyFill="1" applyBorder="1"/>
    <xf numFmtId="1" fontId="14" fillId="2" borderId="0" xfId="0" applyNumberFormat="1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left"/>
    </xf>
    <xf numFmtId="0" fontId="14" fillId="3" borderId="17" xfId="0" applyFont="1" applyFill="1" applyBorder="1"/>
    <xf numFmtId="0" fontId="14" fillId="3" borderId="18" xfId="0" applyFont="1" applyFill="1" applyBorder="1" applyAlignment="1">
      <alignment horizontal="left"/>
    </xf>
    <xf numFmtId="2" fontId="14" fillId="0" borderId="0" xfId="0" applyNumberFormat="1" applyFont="1"/>
    <xf numFmtId="165" fontId="14" fillId="3" borderId="0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right"/>
    </xf>
    <xf numFmtId="165" fontId="14" fillId="3" borderId="0" xfId="0" applyNumberFormat="1" applyFont="1" applyFill="1" applyBorder="1" applyAlignment="1">
      <alignment horizontal="left"/>
    </xf>
    <xf numFmtId="0" fontId="14" fillId="7" borderId="65" xfId="0" applyFont="1" applyFill="1" applyBorder="1" applyAlignment="1">
      <alignment horizontal="right"/>
    </xf>
    <xf numFmtId="166" fontId="14" fillId="7" borderId="66" xfId="0" applyNumberFormat="1" applyFont="1" applyFill="1" applyBorder="1" applyAlignment="1">
      <alignment horizontal="left"/>
    </xf>
    <xf numFmtId="0" fontId="25" fillId="0" borderId="0" xfId="0" applyFont="1"/>
    <xf numFmtId="165" fontId="2" fillId="0" borderId="0" xfId="0" applyNumberFormat="1" applyFont="1"/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4" fillId="2" borderId="7" xfId="0" applyNumberFormat="1" applyFont="1" applyFill="1" applyBorder="1" applyAlignment="1">
      <alignment horizontal="left"/>
    </xf>
    <xf numFmtId="0" fontId="16" fillId="3" borderId="14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7" borderId="20" xfId="0" applyNumberFormat="1" applyFont="1" applyFill="1" applyBorder="1" applyAlignment="1">
      <alignment horizontal="left"/>
    </xf>
    <xf numFmtId="168" fontId="14" fillId="3" borderId="0" xfId="0" applyNumberFormat="1" applyFont="1" applyFill="1" applyBorder="1" applyAlignment="1">
      <alignment horizontal="center"/>
    </xf>
    <xf numFmtId="0" fontId="7" fillId="3" borderId="13" xfId="0" applyFont="1" applyFill="1" applyBorder="1"/>
    <xf numFmtId="0" fontId="14" fillId="3" borderId="14" xfId="0" applyFont="1" applyFill="1" applyBorder="1" applyAlignment="1">
      <alignment horizontal="right"/>
    </xf>
    <xf numFmtId="0" fontId="14" fillId="3" borderId="14" xfId="0" applyFont="1" applyFill="1" applyBorder="1" applyAlignment="1">
      <alignment horizontal="left"/>
    </xf>
    <xf numFmtId="164" fontId="14" fillId="3" borderId="15" xfId="0" applyNumberFormat="1" applyFont="1" applyFill="1" applyBorder="1" applyAlignment="1">
      <alignment horizontal="left"/>
    </xf>
    <xf numFmtId="0" fontId="7" fillId="3" borderId="16" xfId="0" applyFont="1" applyFill="1" applyBorder="1"/>
    <xf numFmtId="164" fontId="14" fillId="3" borderId="17" xfId="0" applyNumberFormat="1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2" fontId="14" fillId="3" borderId="19" xfId="0" applyNumberFormat="1" applyFont="1" applyFill="1" applyBorder="1" applyAlignment="1">
      <alignment horizontal="center"/>
    </xf>
    <xf numFmtId="0" fontId="14" fillId="3" borderId="19" xfId="0" applyFont="1" applyFill="1" applyBorder="1" applyAlignment="1">
      <alignment horizontal="right"/>
    </xf>
    <xf numFmtId="165" fontId="14" fillId="3" borderId="19" xfId="0" applyNumberFormat="1" applyFont="1" applyFill="1" applyBorder="1" applyAlignment="1">
      <alignment horizontal="left"/>
    </xf>
    <xf numFmtId="168" fontId="14" fillId="3" borderId="19" xfId="0" applyNumberFormat="1" applyFont="1" applyFill="1" applyBorder="1" applyAlignment="1">
      <alignment horizontal="center"/>
    </xf>
    <xf numFmtId="0" fontId="14" fillId="3" borderId="19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0" fillId="0" borderId="0" xfId="0" applyFill="1" applyBorder="1"/>
    <xf numFmtId="49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5" fontId="14" fillId="0" borderId="0" xfId="0" applyNumberFormat="1" applyFont="1" applyFill="1" applyBorder="1" applyAlignment="1">
      <alignment horizontal="left"/>
    </xf>
    <xf numFmtId="0" fontId="14" fillId="3" borderId="13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8" borderId="47" xfId="0" applyFont="1" applyFill="1" applyBorder="1" applyAlignment="1">
      <alignment horizontal="center"/>
    </xf>
    <xf numFmtId="0" fontId="14" fillId="8" borderId="48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8" borderId="43" xfId="0" applyFont="1" applyFill="1" applyBorder="1" applyAlignment="1">
      <alignment horizontal="center"/>
    </xf>
    <xf numFmtId="0" fontId="14" fillId="8" borderId="44" xfId="0" applyFont="1" applyFill="1" applyBorder="1" applyAlignment="1">
      <alignment horizontal="center"/>
    </xf>
    <xf numFmtId="0" fontId="14" fillId="8" borderId="45" xfId="0" applyFont="1" applyFill="1" applyBorder="1" applyAlignment="1">
      <alignment horizontal="center"/>
    </xf>
    <xf numFmtId="0" fontId="14" fillId="8" borderId="63" xfId="0" applyFont="1" applyFill="1" applyBorder="1" applyAlignment="1">
      <alignment horizontal="center"/>
    </xf>
    <xf numFmtId="0" fontId="14" fillId="8" borderId="64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4" fillId="8" borderId="57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right" vertical="center"/>
    </xf>
    <xf numFmtId="0" fontId="14" fillId="4" borderId="58" xfId="0" applyFont="1" applyFill="1" applyBorder="1" applyAlignment="1">
      <alignment horizontal="right" vertical="center"/>
    </xf>
    <xf numFmtId="2" fontId="14" fillId="4" borderId="59" xfId="0" applyNumberFormat="1" applyFont="1" applyFill="1" applyBorder="1" applyAlignment="1">
      <alignment horizontal="left" vertical="center"/>
    </xf>
    <xf numFmtId="2" fontId="14" fillId="4" borderId="60" xfId="0" applyNumberFormat="1" applyFont="1" applyFill="1" applyBorder="1" applyAlignment="1">
      <alignment horizontal="left" vertical="center"/>
    </xf>
    <xf numFmtId="0" fontId="14" fillId="4" borderId="56" xfId="0" applyFont="1" applyFill="1" applyBorder="1" applyAlignment="1">
      <alignment horizontal="right" vertical="center"/>
    </xf>
    <xf numFmtId="0" fontId="14" fillId="4" borderId="11" xfId="0" applyFont="1" applyFill="1" applyBorder="1" applyAlignment="1">
      <alignment horizontal="right" vertical="center"/>
    </xf>
    <xf numFmtId="2" fontId="14" fillId="4" borderId="61" xfId="0" applyNumberFormat="1" applyFont="1" applyFill="1" applyBorder="1" applyAlignment="1">
      <alignment horizontal="left" vertical="center"/>
    </xf>
    <xf numFmtId="2" fontId="14" fillId="4" borderId="62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2.xml"/><Relationship Id="rId15" Type="http://schemas.openxmlformats.org/officeDocument/2006/relationships/calcChain" Target="calcChain.xml"/><Relationship Id="rId10" Type="http://schemas.openxmlformats.org/officeDocument/2006/relationships/worksheet" Target="worksheets/sheet5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2468700826"/>
          <c:y val="5.7319949724792499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6.7940198739404878E-2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0.40528629826463414</c:v>
                </c:pt>
                <c:pt idx="23">
                  <c:v>0.41947648061366344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0.66977893788757714</c:v>
                </c:pt>
                <c:pt idx="46">
                  <c:v>0.67886012630968007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0.71359578108645105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0.78339667858879436</c:v>
                </c:pt>
                <c:pt idx="60">
                  <c:v>0.79051071771496462</c:v>
                </c:pt>
                <c:pt idx="61">
                  <c:v>0.79750667356431837</c:v>
                </c:pt>
                <c:pt idx="62">
                  <c:v>0.80438711473845781</c:v>
                </c:pt>
                <c:pt idx="63">
                  <c:v>0.81115454122168407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0.8371418164673875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0.88437364720376199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0.99612810833535725</c:v>
                </c:pt>
                <c:pt idx="100">
                  <c:v>1.0000000000000011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2D2-4047-B34D-C6C7711FAF12}"/>
            </c:ext>
          </c:extLst>
        </c:ser>
        <c:ser>
          <c:idx val="1"/>
          <c:order val="1"/>
          <c:tx>
            <c:v>45 Degree Line</c:v>
          </c:tx>
          <c:spPr>
            <a:ln w="28575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'10-Tray'!$B$46:$B$47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'10-Tray'!$C$46:$C$47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2D2-4047-B34D-C6C7711FAF12}"/>
            </c:ext>
          </c:extLst>
        </c:ser>
        <c:ser>
          <c:idx val="4"/>
          <c:order val="2"/>
          <c:tx>
            <c:v>TOL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'10-Tray'!$A$29:$A$39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'10-Tray'!$B$29:$B$39</c:f>
              <c:numCache>
                <c:formatCode>0.0000</c:formatCode>
                <c:ptCount val="11"/>
                <c:pt idx="0">
                  <c:v>0.31662383678879025</c:v>
                </c:pt>
                <c:pt idx="1">
                  <c:v>0.3832905034554569</c:v>
                </c:pt>
                <c:pt idx="2">
                  <c:v>0.44995717012212355</c:v>
                </c:pt>
                <c:pt idx="3">
                  <c:v>0.5166238367887902</c:v>
                </c:pt>
                <c:pt idx="4">
                  <c:v>0.58329050345545697</c:v>
                </c:pt>
                <c:pt idx="5">
                  <c:v>0.64995717012212362</c:v>
                </c:pt>
                <c:pt idx="6">
                  <c:v>0.71662383678879027</c:v>
                </c:pt>
                <c:pt idx="7">
                  <c:v>0.78329050345545692</c:v>
                </c:pt>
                <c:pt idx="8">
                  <c:v>0.84995717012212357</c:v>
                </c:pt>
                <c:pt idx="9">
                  <c:v>0.91662383678879022</c:v>
                </c:pt>
                <c:pt idx="10">
                  <c:v>0.98329050345545688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2D2-4047-B34D-C6C7711FAF12}"/>
            </c:ext>
          </c:extLst>
        </c:ser>
        <c:ser>
          <c:idx val="5"/>
          <c:order val="3"/>
          <c:tx>
            <c:v>BOL</c:v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'10-Tray'!$A$29:$A$39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'10-Tray'!$C$29:$C$39</c:f>
              <c:numCache>
                <c:formatCode>0.0000</c:formatCode>
                <c:ptCount val="11"/>
                <c:pt idx="0">
                  <c:v>-1.7898027320604925E-2</c:v>
                </c:pt>
                <c:pt idx="1">
                  <c:v>0.11780627472563644</c:v>
                </c:pt>
                <c:pt idx="2">
                  <c:v>0.25351057677187783</c:v>
                </c:pt>
                <c:pt idx="3">
                  <c:v>0.38921487881811923</c:v>
                </c:pt>
                <c:pt idx="4">
                  <c:v>0.52491918086436051</c:v>
                </c:pt>
                <c:pt idx="5">
                  <c:v>0.66062348291060191</c:v>
                </c:pt>
                <c:pt idx="6">
                  <c:v>0.79632778495684331</c:v>
                </c:pt>
                <c:pt idx="7">
                  <c:v>0.9320320870030846</c:v>
                </c:pt>
                <c:pt idx="8">
                  <c:v>1.0677363890493261</c:v>
                </c:pt>
                <c:pt idx="9">
                  <c:v>1.2034406910955675</c:v>
                </c:pt>
                <c:pt idx="10">
                  <c:v>1.3391449931418089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D2-4047-B34D-C6C7711FAF12}"/>
            </c:ext>
          </c:extLst>
        </c:ser>
        <c:ser>
          <c:idx val="3"/>
          <c:order val="4"/>
          <c:tx>
            <c:v>Stair Steps</c:v>
          </c:tx>
          <c:spPr>
            <a:ln w="25400">
              <a:solidFill>
                <a:srgbClr val="FFC000"/>
              </a:solidFill>
              <a:prstDash val="solid"/>
            </a:ln>
            <a:effectLst/>
          </c:spPr>
          <c:marker>
            <c:symbol val="squar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'10-Tray'!$E$29:$E$51</c:f>
              <c:numCache>
                <c:formatCode>0.0000</c:formatCode>
                <c:ptCount val="23"/>
                <c:pt idx="0">
                  <c:v>0.94987151036637074</c:v>
                </c:pt>
                <c:pt idx="1">
                  <c:v>0.88028650668004194</c:v>
                </c:pt>
                <c:pt idx="2">
                  <c:v>0.88028650668004194</c:v>
                </c:pt>
                <c:pt idx="3">
                  <c:v>0.78587484819181785</c:v>
                </c:pt>
                <c:pt idx="4">
                  <c:v>0.78587484819181785</c:v>
                </c:pt>
                <c:pt idx="5">
                  <c:v>0.67736026501425806</c:v>
                </c:pt>
                <c:pt idx="6">
                  <c:v>0.67736026501425806</c:v>
                </c:pt>
                <c:pt idx="7">
                  <c:v>0.57334707391038442</c:v>
                </c:pt>
                <c:pt idx="8">
                  <c:v>0.57334707391038442</c:v>
                </c:pt>
                <c:pt idx="9">
                  <c:v>0.48902165659957769</c:v>
                </c:pt>
                <c:pt idx="10">
                  <c:v>0.48902165659957769</c:v>
                </c:pt>
                <c:pt idx="11">
                  <c:v>0.42217148889863931</c:v>
                </c:pt>
                <c:pt idx="12">
                  <c:v>0.42217148889863931</c:v>
                </c:pt>
                <c:pt idx="13">
                  <c:v>0.33671916669449492</c:v>
                </c:pt>
                <c:pt idx="14">
                  <c:v>0.33671916669449492</c:v>
                </c:pt>
                <c:pt idx="15">
                  <c:v>0.24421739865555481</c:v>
                </c:pt>
                <c:pt idx="16">
                  <c:v>0.24421739865555481</c:v>
                </c:pt>
                <c:pt idx="17">
                  <c:v>0.16016066262369935</c:v>
                </c:pt>
                <c:pt idx="18">
                  <c:v>0.16016066262369935</c:v>
                </c:pt>
                <c:pt idx="19">
                  <c:v>9.4910020604649495E-2</c:v>
                </c:pt>
                <c:pt idx="20">
                  <c:v>9.4910020604649495E-2</c:v>
                </c:pt>
                <c:pt idx="21">
                  <c:v>5.0128489551272623E-2</c:v>
                </c:pt>
                <c:pt idx="22">
                  <c:v>5.0128489551272623E-2</c:v>
                </c:pt>
              </c:numCache>
            </c:numRef>
          </c:xVal>
          <c:yVal>
            <c:numRef>
              <c:f>'10-Tray'!$F$29:$F$51</c:f>
              <c:numCache>
                <c:formatCode>0.0000</c:formatCode>
                <c:ptCount val="23"/>
                <c:pt idx="0">
                  <c:v>0.94987151036637074</c:v>
                </c:pt>
                <c:pt idx="1">
                  <c:v>0.94987151036637074</c:v>
                </c:pt>
                <c:pt idx="2">
                  <c:v>0.90371164057400322</c:v>
                </c:pt>
                <c:pt idx="3">
                  <c:v>0.90371164057400322</c:v>
                </c:pt>
                <c:pt idx="4">
                  <c:v>0.84174259015036723</c:v>
                </c:pt>
                <c:pt idx="5">
                  <c:v>0.84174259015036723</c:v>
                </c:pt>
                <c:pt idx="6">
                  <c:v>0.77128047650787068</c:v>
                </c:pt>
                <c:pt idx="7">
                  <c:v>0.77128047650787068</c:v>
                </c:pt>
                <c:pt idx="8">
                  <c:v>0.7043077654769645</c:v>
                </c:pt>
                <c:pt idx="9">
                  <c:v>0.7043077654769645</c:v>
                </c:pt>
                <c:pt idx="10">
                  <c:v>0.64361784749093331</c:v>
                </c:pt>
                <c:pt idx="11">
                  <c:v>0.64361784749093331</c:v>
                </c:pt>
                <c:pt idx="12">
                  <c:v>0.55423327374995812</c:v>
                </c:pt>
                <c:pt idx="13">
                  <c:v>0.55423327374995812</c:v>
                </c:pt>
                <c:pt idx="14">
                  <c:v>0.43915201392674785</c:v>
                </c:pt>
                <c:pt idx="15">
                  <c:v>0.43915201392674785</c:v>
                </c:pt>
                <c:pt idx="16">
                  <c:v>0.31382857651266399</c:v>
                </c:pt>
                <c:pt idx="17">
                  <c:v>0.31382857651266399</c:v>
                </c:pt>
                <c:pt idx="18">
                  <c:v>0.19959010603679789</c:v>
                </c:pt>
                <c:pt idx="19">
                  <c:v>0.19959010603679789</c:v>
                </c:pt>
                <c:pt idx="20">
                  <c:v>0.11089895368347409</c:v>
                </c:pt>
                <c:pt idx="21">
                  <c:v>0.11089895368347409</c:v>
                </c:pt>
                <c:pt idx="22">
                  <c:v>5.01284896336293E-2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2D2-4047-B34D-C6C7711FA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169808"/>
        <c:axId val="285170368"/>
      </c:scatterChart>
      <c:valAx>
        <c:axId val="28516980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5170368"/>
        <c:crosses val="autoZero"/>
        <c:crossBetween val="midCat"/>
        <c:majorUnit val="0.1"/>
        <c:minorUnit val="5.000000000000001E-2"/>
      </c:valAx>
      <c:valAx>
        <c:axId val="285170368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5169808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285814801514671"/>
          <c:y val="0.4541410300873891"/>
          <c:w val="0.29667095839938812"/>
          <c:h val="0.32662821714985463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162733270772"/>
          <c:y val="4.443821437233135E-2"/>
          <c:w val="0.82521338197991045"/>
          <c:h val="0.80121492763421598"/>
        </c:manualLayout>
      </c:layout>
      <c:scatterChart>
        <c:scatterStyle val="lineMarker"/>
        <c:varyColors val="0"/>
        <c:ser>
          <c:idx val="0"/>
          <c:order val="0"/>
          <c:tx>
            <c:v>Liquid - Rigorous</c:v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0070C0"/>
              </a:solidFill>
              <a:ln w="12700">
                <a:solidFill>
                  <a:srgbClr val="0070C0"/>
                </a:solidFill>
                <a:prstDash val="solid"/>
              </a:ln>
            </c:spPr>
          </c:marker>
          <c:xVal>
            <c:strRef>
              <c:f>'10-Tray'!$H$29:$H$40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'10-Tray'!$I$29:$I$40</c:f>
              <c:numCache>
                <c:formatCode>0</c:formatCode>
                <c:ptCount val="12"/>
                <c:pt idx="0">
                  <c:v>100</c:v>
                </c:pt>
                <c:pt idx="1">
                  <c:v>98.526373427192453</c:v>
                </c:pt>
                <c:pt idx="2">
                  <c:v>96.772230651661147</c:v>
                </c:pt>
                <c:pt idx="3">
                  <c:v>95.075932548686211</c:v>
                </c:pt>
                <c:pt idx="4">
                  <c:v>93.754752648264372</c:v>
                </c:pt>
                <c:pt idx="5">
                  <c:v>191.94824737770782</c:v>
                </c:pt>
                <c:pt idx="6">
                  <c:v>190.85944684295862</c:v>
                </c:pt>
                <c:pt idx="7">
                  <c:v>189.89198035814653</c:v>
                </c:pt>
                <c:pt idx="8">
                  <c:v>189.40929818795246</c:v>
                </c:pt>
                <c:pt idx="9">
                  <c:v>189.53046691183852</c:v>
                </c:pt>
                <c:pt idx="10">
                  <c:v>190.03914692197017</c:v>
                </c:pt>
                <c:pt idx="11">
                  <c:v>49.999999999999972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21-4C05-867C-9EA024B9B4B5}"/>
            </c:ext>
          </c:extLst>
        </c:ser>
        <c:ser>
          <c:idx val="1"/>
          <c:order val="1"/>
          <c:tx>
            <c:v>Vapor - Rigorous</c:v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12"/>
            <c:spPr>
              <a:solidFill>
                <a:srgbClr val="0070C0"/>
              </a:solidFill>
              <a:ln w="12700">
                <a:solidFill>
                  <a:srgbClr val="0070C0"/>
                </a:solidFill>
                <a:prstDash val="solid"/>
              </a:ln>
            </c:spPr>
          </c:marker>
          <c:xVal>
            <c:strRef>
              <c:f>'10-Tray'!$H$29:$H$40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'10-Tray'!$J$29:$J$40</c:f>
              <c:numCache>
                <c:formatCode>0</c:formatCode>
                <c:ptCount val="12"/>
                <c:pt idx="1">
                  <c:v>150</c:v>
                </c:pt>
                <c:pt idx="2">
                  <c:v>148.52637342719245</c:v>
                </c:pt>
                <c:pt idx="3">
                  <c:v>146.77223065166115</c:v>
                </c:pt>
                <c:pt idx="4">
                  <c:v>145.07593254868621</c:v>
                </c:pt>
                <c:pt idx="5">
                  <c:v>143.75475264826437</c:v>
                </c:pt>
                <c:pt idx="6">
                  <c:v>141.94824737770779</c:v>
                </c:pt>
                <c:pt idx="7">
                  <c:v>140.85944684295859</c:v>
                </c:pt>
                <c:pt idx="8">
                  <c:v>139.8919803581465</c:v>
                </c:pt>
                <c:pt idx="9">
                  <c:v>139.40929818795246</c:v>
                </c:pt>
                <c:pt idx="10">
                  <c:v>139.53046691183854</c:v>
                </c:pt>
                <c:pt idx="11">
                  <c:v>140.0391469219702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21-4C05-867C-9EA024B9B4B5}"/>
            </c:ext>
          </c:extLst>
        </c:ser>
        <c:ser>
          <c:idx val="4"/>
          <c:order val="2"/>
          <c:tx>
            <c:v>Liquid - Lewis</c:v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xVal>
            <c:numRef>
              <c:f>'10-Tray'!$O$34:$O$45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'10-Tray'!$V$34:$V$45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694-4B06-A81D-133DC2A07190}"/>
            </c:ext>
          </c:extLst>
        </c:ser>
        <c:ser>
          <c:idx val="5"/>
          <c:order val="3"/>
          <c:tx>
            <c:v>Vapor - Lewis</c:v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circle"/>
            <c:size val="12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xVal>
            <c:numRef>
              <c:f>'10-Tray'!$O$34:$O$45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'10-Tray'!$X$34:$X$45</c:f>
              <c:numCache>
                <c:formatCode>General</c:formatCode>
                <c:ptCount val="12"/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94-4B06-A81D-133DC2A07190}"/>
            </c:ext>
          </c:extLst>
        </c:ser>
        <c:ser>
          <c:idx val="2"/>
          <c:order val="4"/>
          <c:tx>
            <c:v>Liquid - CC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square"/>
            <c:size val="12"/>
            <c:spPr>
              <a:noFill/>
              <a:ln w="28575">
                <a:solidFill>
                  <a:srgbClr val="FF0000"/>
                </a:solidFill>
              </a:ln>
            </c:spPr>
          </c:marker>
          <c:xVal>
            <c:numRef>
              <c:f>'10-Tray'!$O$34:$O$45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'10-Tray'!$S$34:$S$45</c:f>
              <c:numCache>
                <c:formatCode>0.0</c:formatCode>
                <c:ptCount val="12"/>
                <c:pt idx="0">
                  <c:v>100</c:v>
                </c:pt>
                <c:pt idx="1">
                  <c:v>98.69</c:v>
                </c:pt>
                <c:pt idx="2">
                  <c:v>97.09</c:v>
                </c:pt>
                <c:pt idx="3">
                  <c:v>95.5</c:v>
                </c:pt>
                <c:pt idx="4">
                  <c:v>94.21</c:v>
                </c:pt>
                <c:pt idx="5">
                  <c:v>193.3</c:v>
                </c:pt>
                <c:pt idx="6">
                  <c:v>192.1</c:v>
                </c:pt>
                <c:pt idx="7">
                  <c:v>190.9</c:v>
                </c:pt>
                <c:pt idx="8">
                  <c:v>190.05</c:v>
                </c:pt>
                <c:pt idx="9">
                  <c:v>189.69</c:v>
                </c:pt>
                <c:pt idx="10">
                  <c:v>189.71</c:v>
                </c:pt>
                <c:pt idx="11">
                  <c:v>50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94-4B06-A81D-133DC2A07190}"/>
            </c:ext>
          </c:extLst>
        </c:ser>
        <c:ser>
          <c:idx val="3"/>
          <c:order val="5"/>
          <c:tx>
            <c:v>Vapor - CC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circle"/>
            <c:size val="12"/>
            <c:spPr>
              <a:noFill/>
              <a:ln w="28575">
                <a:solidFill>
                  <a:srgbClr val="FF0000"/>
                </a:solidFill>
              </a:ln>
            </c:spPr>
          </c:marker>
          <c:xVal>
            <c:numRef>
              <c:f>'10-Tray'!$O$35:$O$46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'10-Tray'!$R$35:$R$46</c:f>
              <c:numCache>
                <c:formatCode>0.0</c:formatCode>
                <c:ptCount val="12"/>
                <c:pt idx="0">
                  <c:v>150</c:v>
                </c:pt>
                <c:pt idx="1">
                  <c:v>148.69</c:v>
                </c:pt>
                <c:pt idx="2">
                  <c:v>147.09</c:v>
                </c:pt>
                <c:pt idx="3">
                  <c:v>145.5</c:v>
                </c:pt>
                <c:pt idx="4">
                  <c:v>144.21</c:v>
                </c:pt>
                <c:pt idx="5">
                  <c:v>143.30000000000001</c:v>
                </c:pt>
                <c:pt idx="6">
                  <c:v>142.1</c:v>
                </c:pt>
                <c:pt idx="7">
                  <c:v>140.9</c:v>
                </c:pt>
                <c:pt idx="8">
                  <c:v>140.05000000000001</c:v>
                </c:pt>
                <c:pt idx="9">
                  <c:v>139.69</c:v>
                </c:pt>
                <c:pt idx="10">
                  <c:v>139.71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694-4B06-A81D-133DC2A07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700112"/>
        <c:axId val="279058000"/>
      </c:scatterChart>
      <c:valAx>
        <c:axId val="283700112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39881388159813358"/>
              <c:y val="0.91601118599945874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9058000"/>
        <c:crosses val="autoZero"/>
        <c:crossBetween val="midCat"/>
        <c:majorUnit val="1"/>
      </c:valAx>
      <c:valAx>
        <c:axId val="279058000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Flow Rate (mole/h)</a:t>
                </a:r>
              </a:p>
            </c:rich>
          </c:tx>
          <c:layout>
            <c:manualLayout>
              <c:xMode val="edge"/>
              <c:yMode val="edge"/>
              <c:x val="1.9609329140909279E-2"/>
              <c:y val="0.212059258157341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3700112"/>
        <c:crosses val="autoZero"/>
        <c:crossBetween val="midCat"/>
      </c:valAx>
      <c:spPr>
        <a:noFill/>
        <a:ln w="285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38703423417845"/>
          <c:y val="5.2352031647415594E-2"/>
          <c:w val="0.27901148927848146"/>
          <c:h val="0.26761954069981442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0951725636138"/>
          <c:y val="4.5720782789489357E-2"/>
          <c:w val="0.8557073049979651"/>
          <c:h val="0.80647282242291951"/>
        </c:manualLayout>
      </c:layout>
      <c:scatterChart>
        <c:scatterStyle val="lineMarker"/>
        <c:varyColors val="0"/>
        <c:ser>
          <c:idx val="0"/>
          <c:order val="0"/>
          <c:tx>
            <c:v>Rigorous</c:v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12"/>
            <c:spPr>
              <a:solidFill>
                <a:srgbClr val="0070C0"/>
              </a:solidFill>
              <a:ln w="12700"/>
            </c:spPr>
          </c:marker>
          <c:xVal>
            <c:strRef>
              <c:f>'10-Tray'!$K$29:$K$40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'10-Tray'!$L$29:$L$40</c:f>
              <c:numCache>
                <c:formatCode>0.0</c:formatCode>
                <c:ptCount val="12"/>
                <c:pt idx="0">
                  <c:v>81.120522832974117</c:v>
                </c:pt>
                <c:pt idx="1">
                  <c:v>82.592938999651977</c:v>
                </c:pt>
                <c:pt idx="2">
                  <c:v>84.708549461413099</c:v>
                </c:pt>
                <c:pt idx="3">
                  <c:v>87.327472988119183</c:v>
                </c:pt>
                <c:pt idx="4">
                  <c:v>90.051837503828494</c:v>
                </c:pt>
                <c:pt idx="5">
                  <c:v>92.435793369203125</c:v>
                </c:pt>
                <c:pt idx="6">
                  <c:v>94.45103601899396</c:v>
                </c:pt>
                <c:pt idx="7">
                  <c:v>97.207723517601693</c:v>
                </c:pt>
                <c:pt idx="8">
                  <c:v>100.44981618691679</c:v>
                </c:pt>
                <c:pt idx="9">
                  <c:v>103.6618624690922</c:v>
                </c:pt>
                <c:pt idx="10">
                  <c:v>106.35354912555511</c:v>
                </c:pt>
                <c:pt idx="11">
                  <c:v>108.31220008673372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95-41CD-8AB4-BE16EA5F0C95}"/>
            </c:ext>
          </c:extLst>
        </c:ser>
        <c:ser>
          <c:idx val="1"/>
          <c:order val="1"/>
          <c:tx>
            <c:v>Lewis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12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xVal>
            <c:numRef>
              <c:f>'10-Tray'!$O$34:$O$45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'10-Tray'!$Z$34:$Z$45</c:f>
              <c:numCache>
                <c:formatCode>0.0</c:formatCode>
                <c:ptCount val="12"/>
                <c:pt idx="0">
                  <c:v>81.029557082400501</c:v>
                </c:pt>
                <c:pt idx="1">
                  <c:v>82.382469290930004</c:v>
                </c:pt>
                <c:pt idx="2">
                  <c:v>84.364600718395764</c:v>
                </c:pt>
                <c:pt idx="3">
                  <c:v>86.911347844252276</c:v>
                </c:pt>
                <c:pt idx="4">
                  <c:v>89.698646628706015</c:v>
                </c:pt>
                <c:pt idx="5">
                  <c:v>92.274670628161672</c:v>
                </c:pt>
                <c:pt idx="6">
                  <c:v>94.434141337462577</c:v>
                </c:pt>
                <c:pt idx="7">
                  <c:v>97.380382003022021</c:v>
                </c:pt>
                <c:pt idx="8">
                  <c:v>100.77813705143318</c:v>
                </c:pt>
                <c:pt idx="9">
                  <c:v>104.03548335133343</c:v>
                </c:pt>
                <c:pt idx="10">
                  <c:v>106.6635505607801</c:v>
                </c:pt>
                <c:pt idx="11">
                  <c:v>108.51024544707965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B3-4E2B-AD02-DA7EF642205E}"/>
            </c:ext>
          </c:extLst>
        </c:ser>
        <c:ser>
          <c:idx val="2"/>
          <c:order val="2"/>
          <c:tx>
            <c:v>CC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circle"/>
            <c:size val="12"/>
            <c:spPr>
              <a:noFill/>
              <a:ln w="28575">
                <a:solidFill>
                  <a:srgbClr val="FF0000"/>
                </a:solidFill>
              </a:ln>
            </c:spPr>
          </c:marker>
          <c:xVal>
            <c:numRef>
              <c:f>'10-Tray'!$O$34:$O$45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'10-Tray'!$P$34:$P$45</c:f>
              <c:numCache>
                <c:formatCode>General</c:formatCode>
                <c:ptCount val="12"/>
                <c:pt idx="0">
                  <c:v>81.099999999999994</c:v>
                </c:pt>
                <c:pt idx="1">
                  <c:v>82.6</c:v>
                </c:pt>
                <c:pt idx="2">
                  <c:v>84.7</c:v>
                </c:pt>
                <c:pt idx="3">
                  <c:v>87.3</c:v>
                </c:pt>
                <c:pt idx="4">
                  <c:v>90</c:v>
                </c:pt>
                <c:pt idx="5">
                  <c:v>92.5</c:v>
                </c:pt>
                <c:pt idx="6">
                  <c:v>94.5</c:v>
                </c:pt>
                <c:pt idx="7">
                  <c:v>97.3</c:v>
                </c:pt>
                <c:pt idx="8">
                  <c:v>100.6</c:v>
                </c:pt>
                <c:pt idx="9">
                  <c:v>103.8</c:v>
                </c:pt>
                <c:pt idx="10">
                  <c:v>106.5</c:v>
                </c:pt>
                <c:pt idx="11">
                  <c:v>108.4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B3-4E2B-AD02-DA7EF6422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521648"/>
        <c:axId val="284522208"/>
      </c:scatterChart>
      <c:valAx>
        <c:axId val="284521648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3421955088947215"/>
              <c:y val="0.9225518168657723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522208"/>
        <c:crosses val="autoZero"/>
        <c:crossBetween val="midCat"/>
        <c:majorUnit val="1"/>
      </c:valAx>
      <c:valAx>
        <c:axId val="284522208"/>
        <c:scaling>
          <c:orientation val="minMax"/>
          <c:max val="112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 (</a:t>
                </a:r>
                <a:r>
                  <a:rPr lang="en-US" sz="1800" b="1" i="0" u="none" strike="noStrike" baseline="3000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o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4113972000438202E-3"/>
              <c:y val="0.331295114785687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521648"/>
        <c:crosses val="autoZero"/>
        <c:crossBetween val="midCat"/>
        <c:majorUnit val="2"/>
        <c:minorUnit val="1"/>
      </c:valAx>
      <c:spPr>
        <a:noFill/>
        <a:ln w="285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015258453048941"/>
          <c:y val="0.56660820218618646"/>
          <c:w val="0.15805372214269173"/>
          <c:h val="0.15313189271632535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49659991431606"/>
          <c:y val="5.0197693538302703E-2"/>
          <c:w val="0.82694736174972239"/>
          <c:h val="0.79273169908370256"/>
        </c:manualLayout>
      </c:layout>
      <c:scatterChart>
        <c:scatterStyle val="lineMarker"/>
        <c:varyColors val="0"/>
        <c:ser>
          <c:idx val="0"/>
          <c:order val="0"/>
          <c:tx>
            <c:v>x - Rigorous</c:v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0070C0"/>
              </a:solidFill>
              <a:ln w="12700">
                <a:solidFill>
                  <a:srgbClr val="63AAFE"/>
                </a:solidFill>
                <a:prstDash val="solid"/>
              </a:ln>
            </c:spPr>
          </c:marker>
          <c:xVal>
            <c:strRef>
              <c:f>'10-Tray'!$M$29:$M$40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'10-Tray'!$H$7:$H$18</c:f>
              <c:numCache>
                <c:formatCode>0.000</c:formatCode>
                <c:ptCount val="12"/>
                <c:pt idx="0">
                  <c:v>0.94987151036637074</c:v>
                </c:pt>
                <c:pt idx="1">
                  <c:v>0.88028650668004194</c:v>
                </c:pt>
                <c:pt idx="2">
                  <c:v>0.78587484819181785</c:v>
                </c:pt>
                <c:pt idx="3">
                  <c:v>0.67736026501425806</c:v>
                </c:pt>
                <c:pt idx="4">
                  <c:v>0.57334707391038442</c:v>
                </c:pt>
                <c:pt idx="5">
                  <c:v>0.48902165659957769</c:v>
                </c:pt>
                <c:pt idx="6">
                  <c:v>0.42217148889863931</c:v>
                </c:pt>
                <c:pt idx="7">
                  <c:v>0.33671916669449492</c:v>
                </c:pt>
                <c:pt idx="8">
                  <c:v>0.24421739865555481</c:v>
                </c:pt>
                <c:pt idx="9">
                  <c:v>0.16016066262369935</c:v>
                </c:pt>
                <c:pt idx="10">
                  <c:v>9.4910020604649495E-2</c:v>
                </c:pt>
                <c:pt idx="11">
                  <c:v>5.0128489551272623E-2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6B-4DEF-BB8F-3DD01E6103F9}"/>
            </c:ext>
          </c:extLst>
        </c:ser>
        <c:ser>
          <c:idx val="1"/>
          <c:order val="1"/>
          <c:tx>
            <c:v>y - Rigorous</c:v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12"/>
            <c:spPr>
              <a:solidFill>
                <a:srgbClr val="0070C0"/>
              </a:solidFill>
              <a:ln w="12700">
                <a:solidFill>
                  <a:srgbClr val="0070C0"/>
                </a:solidFill>
                <a:prstDash val="solid"/>
              </a:ln>
            </c:spPr>
          </c:marker>
          <c:xVal>
            <c:strRef>
              <c:f>'10-Tray'!$M$29:$M$40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'10-Tray'!$J$7:$J$18</c:f>
              <c:numCache>
                <c:formatCode>0.000</c:formatCode>
                <c:ptCount val="12"/>
                <c:pt idx="1">
                  <c:v>0.94987151036637074</c:v>
                </c:pt>
                <c:pt idx="2">
                  <c:v>0.90371164057400322</c:v>
                </c:pt>
                <c:pt idx="3">
                  <c:v>0.84174259015036723</c:v>
                </c:pt>
                <c:pt idx="4">
                  <c:v>0.77128047650787068</c:v>
                </c:pt>
                <c:pt idx="5">
                  <c:v>0.7043077654769645</c:v>
                </c:pt>
                <c:pt idx="6">
                  <c:v>0.64361784749093331</c:v>
                </c:pt>
                <c:pt idx="7">
                  <c:v>0.55423327374995812</c:v>
                </c:pt>
                <c:pt idx="8">
                  <c:v>0.43915201392674785</c:v>
                </c:pt>
                <c:pt idx="9">
                  <c:v>0.31382857651266399</c:v>
                </c:pt>
                <c:pt idx="10">
                  <c:v>0.19959010603679789</c:v>
                </c:pt>
                <c:pt idx="11">
                  <c:v>0.11089895368347409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6B-4DEF-BB8F-3DD01E6103F9}"/>
            </c:ext>
          </c:extLst>
        </c:ser>
        <c:ser>
          <c:idx val="2"/>
          <c:order val="2"/>
          <c:tx>
            <c:v>x - Lewis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12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xVal>
            <c:numRef>
              <c:f>'10-Tray'!$O$34:$O$45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'10-Tray'!$W$34:$W$45</c:f>
              <c:numCache>
                <c:formatCode>0.000</c:formatCode>
                <c:ptCount val="12"/>
                <c:pt idx="0">
                  <c:v>0.95428023829520192</c:v>
                </c:pt>
                <c:pt idx="1">
                  <c:v>0.89003191769879952</c:v>
                </c:pt>
                <c:pt idx="2">
                  <c:v>0.80079651031873944</c:v>
                </c:pt>
                <c:pt idx="3">
                  <c:v>0.69402004045995358</c:v>
                </c:pt>
                <c:pt idx="4">
                  <c:v>0.5863545886244077</c:v>
                </c:pt>
                <c:pt idx="5">
                  <c:v>0.49453685094338046</c:v>
                </c:pt>
                <c:pt idx="6">
                  <c:v>0.42271591846459361</c:v>
                </c:pt>
                <c:pt idx="7">
                  <c:v>0.33158308596281405</c:v>
                </c:pt>
                <c:pt idx="8">
                  <c:v>0.2352943385155411</c:v>
                </c:pt>
                <c:pt idx="9">
                  <c:v>0.15083310429863966</c:v>
                </c:pt>
                <c:pt idx="10">
                  <c:v>8.7676320285258111E-2</c:v>
                </c:pt>
                <c:pt idx="11">
                  <c:v>4.5719730206099374E-2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26-4EF7-8574-468235C00D7C}"/>
            </c:ext>
          </c:extLst>
        </c:ser>
        <c:ser>
          <c:idx val="3"/>
          <c:order val="3"/>
          <c:tx>
            <c:v>y - Lewis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12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xVal>
            <c:numRef>
              <c:f>'10-Tray'!$O$34:$O$45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'10-Tray'!$Y$34:$Y$45</c:f>
              <c:numCache>
                <c:formatCode>0.000</c:formatCode>
                <c:ptCount val="12"/>
                <c:pt idx="1">
                  <c:v>0.95428023829520192</c:v>
                </c:pt>
                <c:pt idx="2">
                  <c:v>0.91144802456426699</c:v>
                </c:pt>
                <c:pt idx="3">
                  <c:v>0.85195775297756049</c:v>
                </c:pt>
                <c:pt idx="4">
                  <c:v>0.78077343973836977</c:v>
                </c:pt>
                <c:pt idx="5">
                  <c:v>0.70899647184800596</c:v>
                </c:pt>
                <c:pt idx="6">
                  <c:v>0.64414254735624143</c:v>
                </c:pt>
                <c:pt idx="7">
                  <c:v>0.54838130405119223</c:v>
                </c:pt>
                <c:pt idx="8">
                  <c:v>0.42687086071548624</c:v>
                </c:pt>
                <c:pt idx="9">
                  <c:v>0.29848586411912226</c:v>
                </c:pt>
                <c:pt idx="10">
                  <c:v>0.18587088516325367</c:v>
                </c:pt>
                <c:pt idx="11">
                  <c:v>0.1016618398120783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26-4EF7-8574-468235C00D7C}"/>
            </c:ext>
          </c:extLst>
        </c:ser>
        <c:ser>
          <c:idx val="4"/>
          <c:order val="4"/>
          <c:tx>
            <c:v>x - CC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square"/>
            <c:size val="12"/>
            <c:spPr>
              <a:noFill/>
              <a:ln w="28575">
                <a:solidFill>
                  <a:srgbClr val="FF0000"/>
                </a:solidFill>
              </a:ln>
            </c:spPr>
          </c:marker>
          <c:xVal>
            <c:numRef>
              <c:f>'10-Tray'!$O$34:$O$45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'10-Tray'!$U$34:$U$45</c:f>
              <c:numCache>
                <c:formatCode>0.000</c:formatCode>
                <c:ptCount val="12"/>
                <c:pt idx="0">
                  <c:v>0.95065060000000001</c:v>
                </c:pt>
                <c:pt idx="1">
                  <c:v>0.88184447297515023</c:v>
                </c:pt>
                <c:pt idx="2">
                  <c:v>0.78805919111247524</c:v>
                </c:pt>
                <c:pt idx="3">
                  <c:v>0.67960797331060363</c:v>
                </c:pt>
                <c:pt idx="4">
                  <c:v>0.57500703230401629</c:v>
                </c:pt>
                <c:pt idx="5">
                  <c:v>0.48979427346982907</c:v>
                </c:pt>
                <c:pt idx="6">
                  <c:v>0.42170858650430409</c:v>
                </c:pt>
                <c:pt idx="7">
                  <c:v>0.33512434292718574</c:v>
                </c:pt>
                <c:pt idx="8">
                  <c:v>0.24208991553351009</c:v>
                </c:pt>
                <c:pt idx="9">
                  <c:v>0.15822281663515073</c:v>
                </c:pt>
                <c:pt idx="10">
                  <c:v>9.3550835717734676E-2</c:v>
                </c:pt>
                <c:pt idx="11">
                  <c:v>4.9349400000000002E-2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26-4EF7-8574-468235C00D7C}"/>
            </c:ext>
          </c:extLst>
        </c:ser>
        <c:ser>
          <c:idx val="5"/>
          <c:order val="5"/>
          <c:tx>
            <c:v>y - CC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circle"/>
            <c:size val="12"/>
            <c:spPr>
              <a:noFill/>
              <a:ln w="28575">
                <a:solidFill>
                  <a:srgbClr val="FF0000"/>
                </a:solidFill>
              </a:ln>
            </c:spPr>
          </c:marker>
          <c:xVal>
            <c:numRef>
              <c:f>'10-Tray'!$O$34:$O$45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'10-Tray'!$T$34:$T$45</c:f>
              <c:numCache>
                <c:formatCode>0.000</c:formatCode>
                <c:ptCount val="12"/>
                <c:pt idx="1">
                  <c:v>0.95065066666666664</c:v>
                </c:pt>
                <c:pt idx="2">
                  <c:v>0.90498261090048704</c:v>
                </c:pt>
                <c:pt idx="3">
                  <c:v>0.84332889837370462</c:v>
                </c:pt>
                <c:pt idx="4">
                  <c:v>0.77275112801850188</c:v>
                </c:pt>
                <c:pt idx="5">
                  <c:v>0.70525046790020818</c:v>
                </c:pt>
                <c:pt idx="6">
                  <c:v>0.64347325162613056</c:v>
                </c:pt>
                <c:pt idx="7">
                  <c:v>0.55273190721529775</c:v>
                </c:pt>
                <c:pt idx="8">
                  <c:v>0.43653230757220363</c:v>
                </c:pt>
                <c:pt idx="9">
                  <c:v>0.3109004032082438</c:v>
                </c:pt>
                <c:pt idx="10">
                  <c:v>0.1971918280391976</c:v>
                </c:pt>
                <c:pt idx="11">
                  <c:v>0.10937037418793288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326-4EF7-8574-468235C00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17232"/>
        <c:axId val="281517792"/>
      </c:scatterChart>
      <c:valAx>
        <c:axId val="281517232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2985426655001458"/>
              <c:y val="0.917425673672951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1517792"/>
        <c:crosses val="autoZero"/>
        <c:crossBetween val="midCat"/>
        <c:majorUnit val="1"/>
      </c:valAx>
      <c:valAx>
        <c:axId val="281517792"/>
        <c:scaling>
          <c:orientation val="minMax"/>
          <c:max val="1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X,Y (mole fraction)</a:t>
                </a:r>
              </a:p>
            </c:rich>
          </c:tx>
          <c:layout>
            <c:manualLayout>
              <c:xMode val="edge"/>
              <c:yMode val="edge"/>
              <c:x val="1.4059025955088946E-2"/>
              <c:y val="0.26142608606002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1517232"/>
        <c:crosses val="autoZero"/>
        <c:crossBetween val="midCat"/>
        <c:majorUnit val="0.1"/>
        <c:minorUnit val="5.000000000000001E-2"/>
      </c:valAx>
      <c:spPr>
        <a:noFill/>
        <a:ln w="285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518766140748484"/>
          <c:y val="0.47222857590362483"/>
          <c:w val="0.25440304133649444"/>
          <c:h val="0.30475370504518384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2468700826"/>
          <c:y val="5.7319949724792499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6.7940198739404878E-2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0.40528629826463414</c:v>
                </c:pt>
                <c:pt idx="23">
                  <c:v>0.41947648061366344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0.66977893788757714</c:v>
                </c:pt>
                <c:pt idx="46">
                  <c:v>0.67886012630968007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0.71359578108645105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0.78339667858879436</c:v>
                </c:pt>
                <c:pt idx="60">
                  <c:v>0.79051071771496462</c:v>
                </c:pt>
                <c:pt idx="61">
                  <c:v>0.79750667356431837</c:v>
                </c:pt>
                <c:pt idx="62">
                  <c:v>0.80438711473845781</c:v>
                </c:pt>
                <c:pt idx="63">
                  <c:v>0.81115454122168407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0.8371418164673875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0.88437364720376199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0.99612810833535725</c:v>
                </c:pt>
                <c:pt idx="100">
                  <c:v>1.0000000000000011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2D2-4047-B34D-C6C7711FAF12}"/>
            </c:ext>
          </c:extLst>
        </c:ser>
        <c:ser>
          <c:idx val="1"/>
          <c:order val="1"/>
          <c:tx>
            <c:v>45 Degree Line</c:v>
          </c:tx>
          <c:spPr>
            <a:ln w="28575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'10-Tray'!$B$46:$B$47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'10-Tray'!$C$46:$C$47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2D2-4047-B34D-C6C7711FA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389216"/>
        <c:axId val="288389776"/>
      </c:scatterChart>
      <c:valAx>
        <c:axId val="28838921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8389776"/>
        <c:crosses val="autoZero"/>
        <c:crossBetween val="midCat"/>
        <c:majorUnit val="0.1"/>
        <c:minorUnit val="5.000000000000001E-2"/>
      </c:valAx>
      <c:valAx>
        <c:axId val="288389776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8389216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285814801514671"/>
          <c:y val="0.4541410300873891"/>
          <c:w val="0.29667095839938812"/>
          <c:h val="0.20264779300629832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002105881641"/>
          <c:y val="4.6358141822925608E-2"/>
          <c:w val="0.83897418688217562"/>
          <c:h val="0.81063005323327419"/>
        </c:manualLayout>
      </c:layout>
      <c:scatterChart>
        <c:scatterStyle val="smoothMarker"/>
        <c:varyColors val="0"/>
        <c:ser>
          <c:idx val="0"/>
          <c:order val="0"/>
          <c:tx>
            <c:v>Dew Point Curve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6.7940198739404878E-2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0.40528629826463414</c:v>
                </c:pt>
                <c:pt idx="23">
                  <c:v>0.41947648061366344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0.66977893788757714</c:v>
                </c:pt>
                <c:pt idx="46">
                  <c:v>0.67886012630968007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0.71359578108645105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0.78339667858879436</c:v>
                </c:pt>
                <c:pt idx="60">
                  <c:v>0.79051071771496462</c:v>
                </c:pt>
                <c:pt idx="61">
                  <c:v>0.79750667356431837</c:v>
                </c:pt>
                <c:pt idx="62">
                  <c:v>0.80438711473845781</c:v>
                </c:pt>
                <c:pt idx="63">
                  <c:v>0.81115454122168407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0.8371418164673875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0.88437364720376199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0.99612810833535725</c:v>
                </c:pt>
                <c:pt idx="100">
                  <c:v>1.0000000000000011</c:v>
                </c:pt>
              </c:numCache>
            </c:numRef>
          </c:xVal>
          <c:yVal>
            <c:numRef>
              <c:f>VLE!$C$5:$C$105</c:f>
              <c:numCache>
                <c:formatCode>0.0</c:formatCode>
                <c:ptCount val="101"/>
                <c:pt idx="0">
                  <c:v>110.62215803356158</c:v>
                </c:pt>
                <c:pt idx="1">
                  <c:v>110.15096938668002</c:v>
                </c:pt>
                <c:pt idx="2">
                  <c:v>109.68504059995139</c:v>
                </c:pt>
                <c:pt idx="3">
                  <c:v>109.22428647736746</c:v>
                </c:pt>
                <c:pt idx="4">
                  <c:v>108.76862065606147</c:v>
                </c:pt>
                <c:pt idx="5">
                  <c:v>108.31795843488223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106.99517070816006</c:v>
                </c:pt>
                <c:pt idx="9">
                  <c:v>106.56370814572325</c:v>
                </c:pt>
                <c:pt idx="10">
                  <c:v>106.13684963772371</c:v>
                </c:pt>
                <c:pt idx="11">
                  <c:v>105.71451987323739</c:v>
                </c:pt>
                <c:pt idx="12">
                  <c:v>105.29664500966716</c:v>
                </c:pt>
                <c:pt idx="13">
                  <c:v>104.88315264536998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103.66826757643447</c:v>
                </c:pt>
                <c:pt idx="17">
                  <c:v>103.27160906471067</c:v>
                </c:pt>
                <c:pt idx="18">
                  <c:v>102.87899171448595</c:v>
                </c:pt>
                <c:pt idx="19">
                  <c:v>102.49035120701591</c:v>
                </c:pt>
                <c:pt idx="20">
                  <c:v>102.10562447941372</c:v>
                </c:pt>
                <c:pt idx="21">
                  <c:v>101.72474969939994</c:v>
                </c:pt>
                <c:pt idx="22">
                  <c:v>101.34766624039833</c:v>
                </c:pt>
                <c:pt idx="23">
                  <c:v>100.97431465698807</c:v>
                </c:pt>
                <c:pt idx="24">
                  <c:v>100.60463666072333</c:v>
                </c:pt>
                <c:pt idx="25">
                  <c:v>100.23857509632624</c:v>
                </c:pt>
                <c:pt idx="26">
                  <c:v>99.876073918260985</c:v>
                </c:pt>
                <c:pt idx="27">
                  <c:v>99.517078167694052</c:v>
                </c:pt>
                <c:pt idx="28">
                  <c:v>99.161533949844568</c:v>
                </c:pt>
                <c:pt idx="29">
                  <c:v>98.809388411727511</c:v>
                </c:pt>
                <c:pt idx="30">
                  <c:v>98.46058972029229</c:v>
                </c:pt>
                <c:pt idx="31">
                  <c:v>98.115087040957476</c:v>
                </c:pt>
                <c:pt idx="32">
                  <c:v>97.7728305165422</c:v>
                </c:pt>
                <c:pt idx="33">
                  <c:v>97.433771246593324</c:v>
                </c:pt>
                <c:pt idx="34">
                  <c:v>97.097861267108101</c:v>
                </c:pt>
                <c:pt idx="35">
                  <c:v>96.765053530649638</c:v>
                </c:pt>
                <c:pt idx="36">
                  <c:v>96.435301886853594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95.46393506536792</c:v>
                </c:pt>
                <c:pt idx="40">
                  <c:v>95.145963569408011</c:v>
                </c:pt>
                <c:pt idx="41">
                  <c:v>94.830830215093087</c:v>
                </c:pt>
                <c:pt idx="42">
                  <c:v>94.518493846626669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93.597866568971696</c:v>
                </c:pt>
                <c:pt idx="46">
                  <c:v>93.296321766254366</c:v>
                </c:pt>
                <c:pt idx="47">
                  <c:v>92.997379414974986</c:v>
                </c:pt>
                <c:pt idx="48">
                  <c:v>92.701002746565678</c:v>
                </c:pt>
                <c:pt idx="49">
                  <c:v>92.407155669951862</c:v>
                </c:pt>
                <c:pt idx="50">
                  <c:v>92.115802757093206</c:v>
                </c:pt>
                <c:pt idx="51">
                  <c:v>91.826909228844784</c:v>
                </c:pt>
                <c:pt idx="52">
                  <c:v>91.540440941132047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90.695255324771779</c:v>
                </c:pt>
                <c:pt idx="56">
                  <c:v>90.418158793077268</c:v>
                </c:pt>
                <c:pt idx="57">
                  <c:v>90.143325844964977</c:v>
                </c:pt>
                <c:pt idx="58">
                  <c:v>89.870725873301382</c:v>
                </c:pt>
                <c:pt idx="59">
                  <c:v>89.600328817547862</c:v>
                </c:pt>
                <c:pt idx="60">
                  <c:v>89.332105152236963</c:v>
                </c:pt>
                <c:pt idx="61">
                  <c:v>89.06602587571102</c:v>
                </c:pt>
                <c:pt idx="62">
                  <c:v>88.802062499116246</c:v>
                </c:pt>
                <c:pt idx="63">
                  <c:v>88.54018703564816</c:v>
                </c:pt>
                <c:pt idx="64">
                  <c:v>88.280371990041843</c:v>
                </c:pt>
                <c:pt idx="65">
                  <c:v>88.022590348302487</c:v>
                </c:pt>
                <c:pt idx="66">
                  <c:v>87.766815567669539</c:v>
                </c:pt>
                <c:pt idx="67">
                  <c:v>87.513021566811247</c:v>
                </c:pt>
                <c:pt idx="68">
                  <c:v>87.261182716242331</c:v>
                </c:pt>
                <c:pt idx="69">
                  <c:v>87.011273828961677</c:v>
                </c:pt>
                <c:pt idx="70">
                  <c:v>86.763270151303189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86.030449153123683</c:v>
                </c:pt>
                <c:pt idx="74">
                  <c:v>85.78982713537215</c:v>
                </c:pt>
                <c:pt idx="75">
                  <c:v>85.550992753110961</c:v>
                </c:pt>
                <c:pt idx="76">
                  <c:v>85.31392367194475</c:v>
                </c:pt>
                <c:pt idx="77">
                  <c:v>85.078597932366108</c:v>
                </c:pt>
                <c:pt idx="78">
                  <c:v>84.844993942150936</c:v>
                </c:pt>
                <c:pt idx="79">
                  <c:v>84.6130904689266</c:v>
                </c:pt>
                <c:pt idx="80">
                  <c:v>84.382866632909426</c:v>
                </c:pt>
                <c:pt idx="81">
                  <c:v>84.154301899806924</c:v>
                </c:pt>
                <c:pt idx="82">
                  <c:v>83.927376073881646</c:v>
                </c:pt>
                <c:pt idx="83">
                  <c:v>83.702069291171995</c:v>
                </c:pt>
                <c:pt idx="84">
                  <c:v>83.478362012866626</c:v>
                </c:pt>
                <c:pt idx="85">
                  <c:v>83.256235018829088</c:v>
                </c:pt>
                <c:pt idx="86">
                  <c:v>83.035669401268308</c:v>
                </c:pt>
                <c:pt idx="87">
                  <c:v>82.81664655855235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82.16865312949696</c:v>
                </c:pt>
                <c:pt idx="91">
                  <c:v>81.955621284204156</c:v>
                </c:pt>
                <c:pt idx="92">
                  <c:v>81.744043591024521</c:v>
                </c:pt>
                <c:pt idx="93">
                  <c:v>81.533903162938515</c:v>
                </c:pt>
                <c:pt idx="94">
                  <c:v>81.325183379500743</c:v>
                </c:pt>
                <c:pt idx="95">
                  <c:v>81.117867881678436</c:v>
                </c:pt>
                <c:pt idx="96">
                  <c:v>80.91194056680591</c:v>
                </c:pt>
                <c:pt idx="97">
                  <c:v>80.707385583649497</c:v>
                </c:pt>
                <c:pt idx="98">
                  <c:v>80.504187327583153</c:v>
                </c:pt>
                <c:pt idx="99">
                  <c:v>80.302330435869266</c:v>
                </c:pt>
                <c:pt idx="100">
                  <c:v>80.101799783044825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809-4046-ADF9-9488D0146CB3}"/>
            </c:ext>
          </c:extLst>
        </c:ser>
        <c:ser>
          <c:idx val="1"/>
          <c:order val="1"/>
          <c:tx>
            <c:v>Bubble Point Curve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VLE!$C$5:$C$105</c:f>
              <c:numCache>
                <c:formatCode>0.0</c:formatCode>
                <c:ptCount val="101"/>
                <c:pt idx="0">
                  <c:v>110.62215803356158</c:v>
                </c:pt>
                <c:pt idx="1">
                  <c:v>110.15096938668002</c:v>
                </c:pt>
                <c:pt idx="2">
                  <c:v>109.68504059995139</c:v>
                </c:pt>
                <c:pt idx="3">
                  <c:v>109.22428647736746</c:v>
                </c:pt>
                <c:pt idx="4">
                  <c:v>108.76862065606147</c:v>
                </c:pt>
                <c:pt idx="5">
                  <c:v>108.31795843488223</c:v>
                </c:pt>
                <c:pt idx="6">
                  <c:v>107.87221674690446</c:v>
                </c:pt>
                <c:pt idx="7">
                  <c:v>107.43131413180475</c:v>
                </c:pt>
                <c:pt idx="8">
                  <c:v>106.99517070816006</c:v>
                </c:pt>
                <c:pt idx="9">
                  <c:v>106.56370814572325</c:v>
                </c:pt>
                <c:pt idx="10">
                  <c:v>106.13684963772371</c:v>
                </c:pt>
                <c:pt idx="11">
                  <c:v>105.71451987323739</c:v>
                </c:pt>
                <c:pt idx="12">
                  <c:v>105.29664500966716</c:v>
                </c:pt>
                <c:pt idx="13">
                  <c:v>104.88315264536998</c:v>
                </c:pt>
                <c:pt idx="14">
                  <c:v>104.4739717924634</c:v>
                </c:pt>
                <c:pt idx="15">
                  <c:v>104.06903284984273</c:v>
                </c:pt>
                <c:pt idx="16">
                  <c:v>103.66826757643447</c:v>
                </c:pt>
                <c:pt idx="17">
                  <c:v>103.27160906471067</c:v>
                </c:pt>
                <c:pt idx="18">
                  <c:v>102.87899171448595</c:v>
                </c:pt>
                <c:pt idx="19">
                  <c:v>102.49035120701591</c:v>
                </c:pt>
                <c:pt idx="20">
                  <c:v>102.10562447941372</c:v>
                </c:pt>
                <c:pt idx="21">
                  <c:v>101.72474969939994</c:v>
                </c:pt>
                <c:pt idx="22">
                  <c:v>101.34766624039833</c:v>
                </c:pt>
                <c:pt idx="23">
                  <c:v>100.97431465698807</c:v>
                </c:pt>
                <c:pt idx="24">
                  <c:v>100.60463666072333</c:v>
                </c:pt>
                <c:pt idx="25">
                  <c:v>100.23857509632624</c:v>
                </c:pt>
                <c:pt idx="26">
                  <c:v>99.876073918260985</c:v>
                </c:pt>
                <c:pt idx="27">
                  <c:v>99.517078167694052</c:v>
                </c:pt>
                <c:pt idx="28">
                  <c:v>99.161533949844568</c:v>
                </c:pt>
                <c:pt idx="29">
                  <c:v>98.809388411727511</c:v>
                </c:pt>
                <c:pt idx="30">
                  <c:v>98.46058972029229</c:v>
                </c:pt>
                <c:pt idx="31">
                  <c:v>98.115087040957476</c:v>
                </c:pt>
                <c:pt idx="32">
                  <c:v>97.7728305165422</c:v>
                </c:pt>
                <c:pt idx="33">
                  <c:v>97.433771246593324</c:v>
                </c:pt>
                <c:pt idx="34">
                  <c:v>97.097861267108101</c:v>
                </c:pt>
                <c:pt idx="35">
                  <c:v>96.765053530649638</c:v>
                </c:pt>
                <c:pt idx="36">
                  <c:v>96.435301886853594</c:v>
                </c:pt>
                <c:pt idx="37">
                  <c:v>96.108561063323009</c:v>
                </c:pt>
                <c:pt idx="38">
                  <c:v>95.784786646908202</c:v>
                </c:pt>
                <c:pt idx="39">
                  <c:v>95.46393506536792</c:v>
                </c:pt>
                <c:pt idx="40">
                  <c:v>95.145963569408011</c:v>
                </c:pt>
                <c:pt idx="41">
                  <c:v>94.830830215093087</c:v>
                </c:pt>
                <c:pt idx="42">
                  <c:v>94.518493846626669</c:v>
                </c:pt>
                <c:pt idx="43">
                  <c:v>94.208914079495642</c:v>
                </c:pt>
                <c:pt idx="44">
                  <c:v>93.902051283972497</c:v>
                </c:pt>
                <c:pt idx="45">
                  <c:v>93.597866568971696</c:v>
                </c:pt>
                <c:pt idx="46">
                  <c:v>93.296321766254366</c:v>
                </c:pt>
                <c:pt idx="47">
                  <c:v>92.997379414974986</c:v>
                </c:pt>
                <c:pt idx="48">
                  <c:v>92.701002746565678</c:v>
                </c:pt>
                <c:pt idx="49">
                  <c:v>92.407155669951862</c:v>
                </c:pt>
                <c:pt idx="50">
                  <c:v>92.115802757093206</c:v>
                </c:pt>
                <c:pt idx="51">
                  <c:v>91.826909228844784</c:v>
                </c:pt>
                <c:pt idx="52">
                  <c:v>91.540440941132047</c:v>
                </c:pt>
                <c:pt idx="53">
                  <c:v>91.256364371433747</c:v>
                </c:pt>
                <c:pt idx="54">
                  <c:v>90.974646605567614</c:v>
                </c:pt>
                <c:pt idx="55">
                  <c:v>90.695255324771779</c:v>
                </c:pt>
                <c:pt idx="56">
                  <c:v>90.418158793077268</c:v>
                </c:pt>
                <c:pt idx="57">
                  <c:v>90.143325844964977</c:v>
                </c:pt>
                <c:pt idx="58">
                  <c:v>89.870725873301382</c:v>
                </c:pt>
                <c:pt idx="59">
                  <c:v>89.600328817547862</c:v>
                </c:pt>
                <c:pt idx="60">
                  <c:v>89.332105152236963</c:v>
                </c:pt>
                <c:pt idx="61">
                  <c:v>89.06602587571102</c:v>
                </c:pt>
                <c:pt idx="62">
                  <c:v>88.802062499116246</c:v>
                </c:pt>
                <c:pt idx="63">
                  <c:v>88.54018703564816</c:v>
                </c:pt>
                <c:pt idx="64">
                  <c:v>88.280371990041843</c:v>
                </c:pt>
                <c:pt idx="65">
                  <c:v>88.022590348302487</c:v>
                </c:pt>
                <c:pt idx="66">
                  <c:v>87.766815567669539</c:v>
                </c:pt>
                <c:pt idx="67">
                  <c:v>87.513021566811247</c:v>
                </c:pt>
                <c:pt idx="68">
                  <c:v>87.261182716242331</c:v>
                </c:pt>
                <c:pt idx="69">
                  <c:v>87.011273828961677</c:v>
                </c:pt>
                <c:pt idx="70">
                  <c:v>86.763270151303189</c:v>
                </c:pt>
                <c:pt idx="71">
                  <c:v>86.517147353996521</c:v>
                </c:pt>
                <c:pt idx="72">
                  <c:v>86.272881523431607</c:v>
                </c:pt>
                <c:pt idx="73">
                  <c:v>86.030449153123683</c:v>
                </c:pt>
                <c:pt idx="74">
                  <c:v>85.78982713537215</c:v>
                </c:pt>
                <c:pt idx="75">
                  <c:v>85.550992753110961</c:v>
                </c:pt>
                <c:pt idx="76">
                  <c:v>85.31392367194475</c:v>
                </c:pt>
                <c:pt idx="77">
                  <c:v>85.078597932366108</c:v>
                </c:pt>
                <c:pt idx="78">
                  <c:v>84.844993942150936</c:v>
                </c:pt>
                <c:pt idx="79">
                  <c:v>84.6130904689266</c:v>
                </c:pt>
                <c:pt idx="80">
                  <c:v>84.382866632909426</c:v>
                </c:pt>
                <c:pt idx="81">
                  <c:v>84.154301899806924</c:v>
                </c:pt>
                <c:pt idx="82">
                  <c:v>83.927376073881646</c:v>
                </c:pt>
                <c:pt idx="83">
                  <c:v>83.702069291171995</c:v>
                </c:pt>
                <c:pt idx="84">
                  <c:v>83.478362012866626</c:v>
                </c:pt>
                <c:pt idx="85">
                  <c:v>83.256235018829088</c:v>
                </c:pt>
                <c:pt idx="86">
                  <c:v>83.035669401268308</c:v>
                </c:pt>
                <c:pt idx="87">
                  <c:v>82.81664655855235</c:v>
                </c:pt>
                <c:pt idx="88">
                  <c:v>82.599148189160971</c:v>
                </c:pt>
                <c:pt idx="89">
                  <c:v>82.383156285774788</c:v>
                </c:pt>
                <c:pt idx="90">
                  <c:v>82.16865312949696</c:v>
                </c:pt>
                <c:pt idx="91">
                  <c:v>81.955621284204156</c:v>
                </c:pt>
                <c:pt idx="92">
                  <c:v>81.744043591024521</c:v>
                </c:pt>
                <c:pt idx="93">
                  <c:v>81.533903162938515</c:v>
                </c:pt>
                <c:pt idx="94">
                  <c:v>81.325183379500743</c:v>
                </c:pt>
                <c:pt idx="95">
                  <c:v>81.117867881678436</c:v>
                </c:pt>
                <c:pt idx="96">
                  <c:v>80.91194056680591</c:v>
                </c:pt>
                <c:pt idx="97">
                  <c:v>80.707385583649497</c:v>
                </c:pt>
                <c:pt idx="98">
                  <c:v>80.504187327583153</c:v>
                </c:pt>
                <c:pt idx="99">
                  <c:v>80.302330435869266</c:v>
                </c:pt>
                <c:pt idx="100">
                  <c:v>80.101799783044825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E809-4046-ADF9-9488D0146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630144"/>
        <c:axId val="392630704"/>
      </c:scatterChart>
      <c:valAx>
        <c:axId val="392630144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92630704"/>
        <c:crosses val="autoZero"/>
        <c:crossBetween val="midCat"/>
        <c:majorUnit val="0.1"/>
        <c:minorUnit val="5.000000000000001E-2"/>
      </c:valAx>
      <c:valAx>
        <c:axId val="392630704"/>
        <c:scaling>
          <c:orientation val="minMax"/>
          <c:max val="112"/>
          <c:min val="8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92630144"/>
        <c:crosses val="autoZero"/>
        <c:crossBetween val="midCat"/>
        <c:majorUnit val="2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0445959449776354"/>
          <c:y val="0.16876057875363279"/>
          <c:w val="0.22676439762038608"/>
          <c:h val="0.10241226642722195"/>
        </c:manualLayout>
      </c:layout>
      <c:overlay val="1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 b="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7260" cy="582168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59800" cy="58335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59800" cy="58335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59800" cy="583353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57260" cy="582168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462213" y="38100"/>
    <xdr:ext cx="8659556" cy="628342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A68"/>
  <sheetViews>
    <sheetView tabSelected="1" zoomScale="52" zoomScaleNormal="52" workbookViewId="0">
      <selection activeCell="Z17" sqref="Z17"/>
    </sheetView>
  </sheetViews>
  <sheetFormatPr defaultColWidth="11" defaultRowHeight="12.6" x14ac:dyDescent="0.2"/>
  <cols>
    <col min="1" max="6" width="16.6328125" customWidth="1"/>
    <col min="7" max="7" width="14.6328125" customWidth="1"/>
    <col min="8" max="8" width="17.26953125" customWidth="1"/>
    <col min="9" max="9" width="14.6328125" customWidth="1"/>
    <col min="10" max="10" width="18" customWidth="1"/>
    <col min="11" max="14" width="14.6328125" customWidth="1"/>
    <col min="15" max="27" width="16.6328125" customWidth="1"/>
  </cols>
  <sheetData>
    <row r="1" spans="1:27" ht="24.9" customHeight="1" x14ac:dyDescent="0.5">
      <c r="A1" s="29" t="s">
        <v>80</v>
      </c>
      <c r="B1" s="14"/>
      <c r="C1" s="14"/>
      <c r="D1" s="16"/>
      <c r="E1" s="15"/>
      <c r="F1" s="14"/>
      <c r="J1" s="14"/>
      <c r="K1" s="14"/>
      <c r="L1" s="14"/>
      <c r="M1" s="14"/>
      <c r="N1" s="14"/>
    </row>
    <row r="2" spans="1:27" ht="24.9" customHeight="1" thickBot="1" x14ac:dyDescent="0.45">
      <c r="A2" s="30"/>
      <c r="B2" s="30"/>
      <c r="C2" s="30"/>
      <c r="D2" s="31"/>
      <c r="E2" s="32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7" ht="24.9" customHeight="1" thickTop="1" thickBot="1" x14ac:dyDescent="0.45">
      <c r="A3" s="63" t="s">
        <v>15</v>
      </c>
      <c r="B3" s="64">
        <v>2</v>
      </c>
      <c r="C3" s="65"/>
      <c r="D3" s="66" t="s">
        <v>37</v>
      </c>
      <c r="E3" s="67"/>
      <c r="F3" s="68"/>
      <c r="G3" s="65"/>
      <c r="H3" s="320" t="s">
        <v>79</v>
      </c>
      <c r="I3" s="321"/>
      <c r="J3" s="65"/>
      <c r="K3" s="65"/>
      <c r="L3" s="65"/>
      <c r="M3" s="65"/>
      <c r="N3" s="65"/>
      <c r="O3" s="65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24.9" customHeight="1" thickTop="1" thickBot="1" x14ac:dyDescent="0.45">
      <c r="A4" s="70" t="s">
        <v>16</v>
      </c>
      <c r="B4" s="71">
        <v>760</v>
      </c>
      <c r="C4" s="65"/>
      <c r="D4" s="72" t="s">
        <v>38</v>
      </c>
      <c r="E4" s="73"/>
      <c r="F4" s="74"/>
      <c r="G4" s="65"/>
      <c r="H4" s="75" t="s">
        <v>100</v>
      </c>
      <c r="I4" s="76">
        <v>92</v>
      </c>
      <c r="J4" s="65"/>
      <c r="K4" s="65"/>
      <c r="L4" s="65"/>
      <c r="M4" s="65"/>
      <c r="N4" s="65"/>
      <c r="O4" s="65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24.9" customHeight="1" thickTop="1" thickBot="1" x14ac:dyDescent="0.4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ht="24.9" customHeight="1" thickTop="1" thickBot="1" x14ac:dyDescent="0.6">
      <c r="A6" s="77" t="s">
        <v>1</v>
      </c>
      <c r="B6" s="78" t="s">
        <v>39</v>
      </c>
      <c r="C6" s="78" t="s">
        <v>40</v>
      </c>
      <c r="D6" s="78" t="s">
        <v>41</v>
      </c>
      <c r="E6" s="78" t="s">
        <v>42</v>
      </c>
      <c r="F6" s="78" t="s">
        <v>101</v>
      </c>
      <c r="G6" s="78" t="s">
        <v>43</v>
      </c>
      <c r="H6" s="78" t="s">
        <v>44</v>
      </c>
      <c r="I6" s="78" t="s">
        <v>45</v>
      </c>
      <c r="J6" s="78" t="s">
        <v>46</v>
      </c>
      <c r="K6" s="78" t="s">
        <v>102</v>
      </c>
      <c r="L6" s="78" t="s">
        <v>103</v>
      </c>
      <c r="M6" s="78" t="s">
        <v>104</v>
      </c>
      <c r="N6" s="78" t="s">
        <v>32</v>
      </c>
      <c r="O6" s="78" t="s">
        <v>105</v>
      </c>
      <c r="P6" s="78" t="s">
        <v>106</v>
      </c>
      <c r="Q6" s="78" t="s">
        <v>107</v>
      </c>
      <c r="R6" s="78" t="s">
        <v>108</v>
      </c>
      <c r="S6" s="78" t="s">
        <v>109</v>
      </c>
      <c r="T6" s="78" t="s">
        <v>110</v>
      </c>
      <c r="U6" s="78" t="s">
        <v>111</v>
      </c>
      <c r="V6" s="79" t="s">
        <v>77</v>
      </c>
      <c r="W6" s="69"/>
      <c r="X6" s="69"/>
      <c r="Y6" s="69"/>
      <c r="Z6" s="69"/>
      <c r="AA6" s="69"/>
    </row>
    <row r="7" spans="1:27" ht="24.9" customHeight="1" thickTop="1" thickBot="1" x14ac:dyDescent="0.45">
      <c r="A7" s="80" t="s">
        <v>13</v>
      </c>
      <c r="B7" s="81"/>
      <c r="C7" s="81"/>
      <c r="D7" s="81"/>
      <c r="E7" s="82">
        <v>50</v>
      </c>
      <c r="F7" s="83">
        <v>0.94987151036637074</v>
      </c>
      <c r="G7" s="84">
        <f>+E7*B3</f>
        <v>100</v>
      </c>
      <c r="H7" s="85">
        <f>+F7</f>
        <v>0.94987151036637074</v>
      </c>
      <c r="I7" s="81"/>
      <c r="J7" s="81"/>
      <c r="K7" s="86">
        <v>81.120522832974117</v>
      </c>
      <c r="L7" s="85">
        <f t="shared" ref="L7:L18" si="0">10^($B$24-$C$24/($D$24+K7))/$B$4</f>
        <v>1.0317577985218531</v>
      </c>
      <c r="M7" s="85">
        <f t="shared" ref="M7:M18" si="1">10^($B$25-$C$25/($D$25+K7))/$B$4</f>
        <v>0.39822986354983231</v>
      </c>
      <c r="N7" s="87">
        <f>+H7*L7+(1-H7)*M7</f>
        <v>1.0000000000009936</v>
      </c>
      <c r="O7" s="88">
        <f>+$I$24*(K7-80.1)+$J$24*(K7^2-80.1^2)/2</f>
        <v>0.14834605766055045</v>
      </c>
      <c r="P7" s="88">
        <f>+$I$25*(K7-110.6)+$J$25*(K7^2-110.6^2)</f>
        <v>-6.2177361336522461</v>
      </c>
      <c r="Q7" s="89"/>
      <c r="R7" s="89"/>
      <c r="S7" s="89"/>
      <c r="T7" s="84">
        <f>+G7*(H7*O7+(1-H7)*P7)</f>
        <v>-17.077602747350493</v>
      </c>
      <c r="U7" s="90" t="s">
        <v>78</v>
      </c>
      <c r="V7" s="91">
        <f>+T7+E7*(F7*O7+(1-F7)*P7)-U8</f>
        <v>-4668.9268055282282</v>
      </c>
      <c r="W7" s="69"/>
      <c r="X7" s="69"/>
      <c r="Y7" s="69"/>
      <c r="Z7" s="69"/>
      <c r="AA7" s="69"/>
    </row>
    <row r="8" spans="1:27" ht="24.9" customHeight="1" thickTop="1" thickBot="1" x14ac:dyDescent="0.45">
      <c r="A8" s="80">
        <v>1</v>
      </c>
      <c r="B8" s="92"/>
      <c r="C8" s="93"/>
      <c r="D8" s="94">
        <f>+B8*C8</f>
        <v>0</v>
      </c>
      <c r="E8" s="81"/>
      <c r="F8" s="81"/>
      <c r="G8" s="84">
        <f>+I9+G7+B8-I8</f>
        <v>98.526373427192453</v>
      </c>
      <c r="H8" s="85">
        <f t="shared" ref="H8:H18" si="2">+J8/L8</f>
        <v>0.88028650668004194</v>
      </c>
      <c r="I8" s="84">
        <f>+E7+G7</f>
        <v>150</v>
      </c>
      <c r="J8" s="85">
        <f>+F7</f>
        <v>0.94987151036637074</v>
      </c>
      <c r="K8" s="95">
        <v>82.592938999651977</v>
      </c>
      <c r="L8" s="85">
        <f t="shared" si="0"/>
        <v>1.0790481316688192</v>
      </c>
      <c r="M8" s="85">
        <f t="shared" si="1"/>
        <v>0.4187371719017387</v>
      </c>
      <c r="N8" s="87">
        <f t="shared" ref="N8:N18" si="3">+J8/L8+(1-J8)/M8</f>
        <v>1.0000000000056177</v>
      </c>
      <c r="O8" s="88">
        <f t="shared" ref="O8:O18" si="4">+$I$24*(K8-80.1)+$J$24*(K8^2-80.1^2)/2</f>
        <v>0.36281006145020311</v>
      </c>
      <c r="P8" s="88">
        <f t="shared" ref="P8:P18" si="5">+$I$25*(K8-110.6)+$J$25*(K8^2-110.6^2)</f>
        <v>-5.9205389993293096</v>
      </c>
      <c r="Q8" s="88">
        <f t="shared" ref="Q8:Q18" si="6">+$L$24+$E$24*(K8-80.1)+$F$24*(K8^2-80.1^2)/2+$G$24*(K8^3-80.1^3)/3+$H$24*(K8^4-80.1^4)/4</f>
        <v>31.012393656242157</v>
      </c>
      <c r="R8" s="88">
        <f t="shared" ref="R8:R18" si="7">+$L$25+$E$25*(K8-110.6)+$F$25*(K8^2-110.6^2)/2+$G$25*(K8^3-110.6^3)/3+$H$25*(K8^4-110.6^4)/4</f>
        <v>29.875495644539299</v>
      </c>
      <c r="S8" s="88">
        <f>+B8*(C8*$R$24+(1-C8)*$R$25)</f>
        <v>0</v>
      </c>
      <c r="T8" s="84">
        <f t="shared" ref="T8:T18" si="8">+G8*(H8*O8+(1-H8)*P8)</f>
        <v>-38.365342621019458</v>
      </c>
      <c r="U8" s="84">
        <f>+I8*(J8*Q8+(1-J8)*R8)</f>
        <v>4643.3104014072023</v>
      </c>
      <c r="V8" s="96">
        <f t="shared" ref="V8:V17" si="9">+T8+U8-T7-U9-S8</f>
        <v>3.7252902984619141E-9</v>
      </c>
      <c r="W8" s="69"/>
      <c r="X8" s="69"/>
      <c r="Y8" s="69"/>
      <c r="Z8" s="69"/>
      <c r="AA8" s="69"/>
    </row>
    <row r="9" spans="1:27" ht="24.9" customHeight="1" thickTop="1" x14ac:dyDescent="0.4">
      <c r="A9" s="80">
        <v>2</v>
      </c>
      <c r="B9" s="97"/>
      <c r="C9" s="98"/>
      <c r="D9" s="99">
        <f t="shared" ref="D9:D17" si="10">+B9*C9</f>
        <v>0</v>
      </c>
      <c r="E9" s="81"/>
      <c r="F9" s="81"/>
      <c r="G9" s="84">
        <f t="shared" ref="G9:G18" si="11">+I10+G8+B9-I9</f>
        <v>96.772230651661147</v>
      </c>
      <c r="H9" s="85">
        <f t="shared" si="2"/>
        <v>0.78587484819181785</v>
      </c>
      <c r="I9" s="86">
        <v>148.52637342719245</v>
      </c>
      <c r="J9" s="85">
        <f t="shared" ref="J9:J18" si="12">+(I8*J8+G8*H8-B8*C8-G7*H7)/I9</f>
        <v>0.90371164057400322</v>
      </c>
      <c r="K9" s="95">
        <v>84.708549461413099</v>
      </c>
      <c r="L9" s="85">
        <f t="shared" si="0"/>
        <v>1.1499434581133503</v>
      </c>
      <c r="M9" s="85">
        <f t="shared" si="1"/>
        <v>0.44968262066825948</v>
      </c>
      <c r="N9" s="87">
        <f t="shared" si="3"/>
        <v>1.0000000000220255</v>
      </c>
      <c r="O9" s="88">
        <f t="shared" si="4"/>
        <v>0.67184632403598821</v>
      </c>
      <c r="P9" s="88">
        <f t="shared" si="5"/>
        <v>-5.4910580541401686</v>
      </c>
      <c r="Q9" s="88">
        <f t="shared" si="6"/>
        <v>31.223753469354676</v>
      </c>
      <c r="R9" s="88">
        <f t="shared" si="7"/>
        <v>30.137968260237166</v>
      </c>
      <c r="S9" s="88">
        <f t="shared" ref="S9:S18" si="13">+B9*(C9*$R$24+(1-C9)*$R$25)</f>
        <v>0</v>
      </c>
      <c r="T9" s="84">
        <f t="shared" si="8"/>
        <v>-62.687745705876623</v>
      </c>
      <c r="U9" s="84">
        <f t="shared" ref="U9:U18" si="14">+I9*(J9*Q9+(1-J9)*R9)</f>
        <v>4622.0226615298079</v>
      </c>
      <c r="V9" s="96">
        <f>+T9+U9-T8-U10-S9</f>
        <v>4.1187377064488828E-8</v>
      </c>
      <c r="W9" s="69"/>
      <c r="X9" s="69"/>
      <c r="Y9" s="69"/>
      <c r="Z9" s="69"/>
      <c r="AA9" s="69"/>
    </row>
    <row r="10" spans="1:27" ht="24.9" customHeight="1" x14ac:dyDescent="0.4">
      <c r="A10" s="80">
        <v>3</v>
      </c>
      <c r="B10" s="97"/>
      <c r="C10" s="98"/>
      <c r="D10" s="99">
        <f>+B10*C10</f>
        <v>0</v>
      </c>
      <c r="E10" s="81"/>
      <c r="F10" s="81"/>
      <c r="G10" s="84">
        <f>+I11+G9+B10-I10</f>
        <v>95.075932548686211</v>
      </c>
      <c r="H10" s="85">
        <f t="shared" si="2"/>
        <v>0.67736026501425806</v>
      </c>
      <c r="I10" s="95">
        <v>146.77223065166115</v>
      </c>
      <c r="J10" s="85">
        <f t="shared" si="12"/>
        <v>0.84174259015036723</v>
      </c>
      <c r="K10" s="95">
        <v>87.327472988119183</v>
      </c>
      <c r="L10" s="85">
        <f t="shared" si="0"/>
        <v>1.2426807913402611</v>
      </c>
      <c r="M10" s="85">
        <f t="shared" si="1"/>
        <v>0.49050812003871941</v>
      </c>
      <c r="N10" s="87">
        <f t="shared" si="3"/>
        <v>0.99999999998366151</v>
      </c>
      <c r="O10" s="88">
        <f t="shared" si="4"/>
        <v>1.0558544050004877</v>
      </c>
      <c r="P10" s="88">
        <f t="shared" si="5"/>
        <v>-4.9553842968968818</v>
      </c>
      <c r="Q10" s="88">
        <f t="shared" si="6"/>
        <v>31.487184699434749</v>
      </c>
      <c r="R10" s="88">
        <f t="shared" si="7"/>
        <v>30.464957714245379</v>
      </c>
      <c r="S10" s="88">
        <f>+B10*(C10*$R$24+(1-C10)*$R$25)</f>
        <v>0</v>
      </c>
      <c r="T10" s="84">
        <f t="shared" si="8"/>
        <v>-84.010050151644108</v>
      </c>
      <c r="U10" s="84">
        <f t="shared" si="14"/>
        <v>4597.7002584037637</v>
      </c>
      <c r="V10" s="96">
        <f t="shared" si="9"/>
        <v>3.4942786442115903E-8</v>
      </c>
      <c r="W10" s="69"/>
      <c r="X10" s="69"/>
      <c r="Y10" s="69"/>
      <c r="Z10" s="69"/>
      <c r="AA10" s="69"/>
    </row>
    <row r="11" spans="1:27" ht="24.9" customHeight="1" x14ac:dyDescent="0.4">
      <c r="A11" s="80">
        <v>4</v>
      </c>
      <c r="B11" s="97"/>
      <c r="C11" s="98"/>
      <c r="D11" s="99">
        <f t="shared" si="10"/>
        <v>0</v>
      </c>
      <c r="E11" s="81"/>
      <c r="F11" s="81"/>
      <c r="G11" s="84">
        <f t="shared" si="11"/>
        <v>93.754752648264372</v>
      </c>
      <c r="H11" s="85">
        <f t="shared" si="2"/>
        <v>0.57334707391038442</v>
      </c>
      <c r="I11" s="95">
        <v>145.07593254868621</v>
      </c>
      <c r="J11" s="85">
        <f>+(I10*J10+G10*H10-B10*C10-G9*H9)/I11</f>
        <v>0.77128047650787068</v>
      </c>
      <c r="K11" s="95">
        <v>90.051837503828494</v>
      </c>
      <c r="L11" s="85">
        <f t="shared" si="0"/>
        <v>1.3452244052586266</v>
      </c>
      <c r="M11" s="85">
        <f t="shared" si="1"/>
        <v>0.53607864743720812</v>
      </c>
      <c r="N11" s="87">
        <f t="shared" si="3"/>
        <v>0.99999999990464283</v>
      </c>
      <c r="O11" s="88">
        <f t="shared" si="4"/>
        <v>1.4570262864587695</v>
      </c>
      <c r="P11" s="88">
        <f t="shared" si="5"/>
        <v>-4.3934271855779565</v>
      </c>
      <c r="Q11" s="88">
        <f t="shared" si="6"/>
        <v>31.763312711885398</v>
      </c>
      <c r="R11" s="88">
        <f t="shared" si="7"/>
        <v>30.80753707816876</v>
      </c>
      <c r="S11" s="88">
        <f t="shared" si="13"/>
        <v>0</v>
      </c>
      <c r="T11" s="84">
        <f t="shared" si="8"/>
        <v>-97.41932650818643</v>
      </c>
      <c r="U11" s="84">
        <f t="shared" si="14"/>
        <v>4576.3779539230527</v>
      </c>
      <c r="V11" s="96">
        <f t="shared" si="9"/>
        <v>-6.0008460422977805E-9</v>
      </c>
      <c r="W11" s="69"/>
      <c r="X11" s="69"/>
      <c r="Y11" s="69"/>
      <c r="Z11" s="69"/>
      <c r="AA11" s="69"/>
    </row>
    <row r="12" spans="1:27" ht="24.9" customHeight="1" x14ac:dyDescent="0.4">
      <c r="A12" s="80">
        <v>5</v>
      </c>
      <c r="B12" s="97">
        <v>100</v>
      </c>
      <c r="C12" s="98">
        <v>0.5</v>
      </c>
      <c r="D12" s="99">
        <f>+B12*C12</f>
        <v>50</v>
      </c>
      <c r="E12" s="81"/>
      <c r="F12" s="81"/>
      <c r="G12" s="84">
        <f t="shared" si="11"/>
        <v>191.94824737770782</v>
      </c>
      <c r="H12" s="85">
        <f t="shared" si="2"/>
        <v>0.48902165659957769</v>
      </c>
      <c r="I12" s="95">
        <v>143.75475264826437</v>
      </c>
      <c r="J12" s="85">
        <f t="shared" si="12"/>
        <v>0.7043077654769645</v>
      </c>
      <c r="K12" s="95">
        <v>92.435793369203125</v>
      </c>
      <c r="L12" s="85">
        <f t="shared" si="0"/>
        <v>1.4402383942960384</v>
      </c>
      <c r="M12" s="85">
        <f t="shared" si="1"/>
        <v>0.57867860431835649</v>
      </c>
      <c r="N12" s="87">
        <f t="shared" si="3"/>
        <v>0.99999999987414978</v>
      </c>
      <c r="O12" s="88">
        <f t="shared" si="4"/>
        <v>1.8094966710120961</v>
      </c>
      <c r="P12" s="88">
        <f t="shared" si="5"/>
        <v>-3.8977407964253117</v>
      </c>
      <c r="Q12" s="88">
        <f t="shared" si="6"/>
        <v>32.00668038208704</v>
      </c>
      <c r="R12" s="88">
        <f t="shared" si="7"/>
        <v>31.109331788892916</v>
      </c>
      <c r="S12" s="84">
        <f>+Flash!G17</f>
        <v>-81.844112139999979</v>
      </c>
      <c r="T12" s="84">
        <f t="shared" si="8"/>
        <v>-212.44411182674108</v>
      </c>
      <c r="U12" s="84">
        <f t="shared" si="14"/>
        <v>4562.9686775725113</v>
      </c>
      <c r="V12" s="96">
        <f t="shared" si="9"/>
        <v>4.8160345045289432E-8</v>
      </c>
      <c r="W12" s="69"/>
      <c r="X12" s="69"/>
      <c r="Y12" s="69"/>
      <c r="Z12" s="69"/>
      <c r="AA12" s="69"/>
    </row>
    <row r="13" spans="1:27" ht="24.9" customHeight="1" x14ac:dyDescent="0.4">
      <c r="A13" s="80">
        <v>6</v>
      </c>
      <c r="B13" s="97"/>
      <c r="C13" s="98"/>
      <c r="D13" s="99">
        <f t="shared" si="10"/>
        <v>0</v>
      </c>
      <c r="E13" s="81"/>
      <c r="F13" s="81"/>
      <c r="G13" s="84">
        <f t="shared" si="11"/>
        <v>190.85944684295862</v>
      </c>
      <c r="H13" s="85">
        <f t="shared" si="2"/>
        <v>0.42217148889863931</v>
      </c>
      <c r="I13" s="95">
        <v>141.94824737770779</v>
      </c>
      <c r="J13" s="85">
        <f>+(I12*J12+G12*H12-B12*C12-G11*H11)/I13</f>
        <v>0.64361784749093331</v>
      </c>
      <c r="K13" s="95">
        <v>94.45103601899396</v>
      </c>
      <c r="L13" s="85">
        <f t="shared" si="0"/>
        <v>1.524541245478237</v>
      </c>
      <c r="M13" s="85">
        <f t="shared" si="1"/>
        <v>0.61676110767840786</v>
      </c>
      <c r="N13" s="87">
        <f t="shared" si="3"/>
        <v>0.9999999999254594</v>
      </c>
      <c r="O13" s="88">
        <f t="shared" si="4"/>
        <v>2.1084896763949081</v>
      </c>
      <c r="P13" s="88">
        <f t="shared" si="5"/>
        <v>-3.475847061933838</v>
      </c>
      <c r="Q13" s="88">
        <f t="shared" si="6"/>
        <v>32.213670865055661</v>
      </c>
      <c r="R13" s="88">
        <f t="shared" si="7"/>
        <v>31.365915122626053</v>
      </c>
      <c r="S13" s="88">
        <f t="shared" si="13"/>
        <v>0</v>
      </c>
      <c r="T13" s="84">
        <f t="shared" si="8"/>
        <v>-213.43798706296394</v>
      </c>
      <c r="U13" s="84">
        <f t="shared" si="14"/>
        <v>4529.7880043457963</v>
      </c>
      <c r="V13" s="96">
        <f t="shared" si="9"/>
        <v>-5.1085407903883606E-8</v>
      </c>
      <c r="W13" s="69"/>
      <c r="X13" s="69"/>
      <c r="Y13" s="69"/>
      <c r="Z13" s="69"/>
      <c r="AA13" s="69"/>
    </row>
    <row r="14" spans="1:27" ht="24.9" customHeight="1" x14ac:dyDescent="0.4">
      <c r="A14" s="80">
        <v>7</v>
      </c>
      <c r="B14" s="97"/>
      <c r="C14" s="98"/>
      <c r="D14" s="99">
        <f t="shared" si="10"/>
        <v>0</v>
      </c>
      <c r="E14" s="81"/>
      <c r="F14" s="81"/>
      <c r="G14" s="84">
        <f t="shared" si="11"/>
        <v>189.89198035814653</v>
      </c>
      <c r="H14" s="85">
        <f t="shared" si="2"/>
        <v>0.33671916669449492</v>
      </c>
      <c r="I14" s="95">
        <v>140.85944684295859</v>
      </c>
      <c r="J14" s="85">
        <f t="shared" si="12"/>
        <v>0.55423327374995812</v>
      </c>
      <c r="K14" s="95">
        <v>97.207723517601693</v>
      </c>
      <c r="L14" s="85">
        <f t="shared" si="0"/>
        <v>1.6459807714266934</v>
      </c>
      <c r="M14" s="85">
        <f t="shared" si="1"/>
        <v>0.67206333101515081</v>
      </c>
      <c r="N14" s="87">
        <f t="shared" si="3"/>
        <v>1.000000000030115</v>
      </c>
      <c r="O14" s="88">
        <f t="shared" si="4"/>
        <v>2.5190268118191304</v>
      </c>
      <c r="P14" s="88">
        <f t="shared" si="5"/>
        <v>-2.8944687308631307</v>
      </c>
      <c r="Q14" s="88">
        <f t="shared" si="6"/>
        <v>32.498683999393727</v>
      </c>
      <c r="R14" s="88">
        <f t="shared" si="7"/>
        <v>31.719066738728852</v>
      </c>
      <c r="S14" s="88">
        <f t="shared" si="13"/>
        <v>0</v>
      </c>
      <c r="T14" s="84">
        <f t="shared" si="8"/>
        <v>-203.49603605761027</v>
      </c>
      <c r="U14" s="84">
        <f t="shared" si="14"/>
        <v>4528.7941291606594</v>
      </c>
      <c r="V14" s="96">
        <f t="shared" si="9"/>
        <v>-8.6410182120744139E-8</v>
      </c>
      <c r="W14" s="69"/>
      <c r="X14" s="69"/>
      <c r="Y14" s="69"/>
      <c r="Z14" s="69"/>
      <c r="AA14" s="69"/>
    </row>
    <row r="15" spans="1:27" ht="24.9" customHeight="1" x14ac:dyDescent="0.4">
      <c r="A15" s="80">
        <v>8</v>
      </c>
      <c r="B15" s="97"/>
      <c r="C15" s="98"/>
      <c r="D15" s="99">
        <f>+B15*C15</f>
        <v>0</v>
      </c>
      <c r="E15" s="81"/>
      <c r="F15" s="81"/>
      <c r="G15" s="84">
        <f>+I16+G14+B15-I15</f>
        <v>189.40929818795246</v>
      </c>
      <c r="H15" s="85">
        <f t="shared" si="2"/>
        <v>0.24421739865555481</v>
      </c>
      <c r="I15" s="95">
        <v>139.8919803581465</v>
      </c>
      <c r="J15" s="85">
        <f t="shared" si="12"/>
        <v>0.43915201392674785</v>
      </c>
      <c r="K15" s="95">
        <v>100.44981618691679</v>
      </c>
      <c r="L15" s="85">
        <f t="shared" si="0"/>
        <v>1.7982011779026834</v>
      </c>
      <c r="M15" s="85">
        <f t="shared" si="1"/>
        <v>0.74207580986755528</v>
      </c>
      <c r="N15" s="87">
        <f t="shared" si="3"/>
        <v>1.0000000001303981</v>
      </c>
      <c r="O15" s="88">
        <f t="shared" si="4"/>
        <v>3.004127949567263</v>
      </c>
      <c r="P15" s="88">
        <f t="shared" si="5"/>
        <v>-2.2044183460635196</v>
      </c>
      <c r="Q15" s="88">
        <f t="shared" si="6"/>
        <v>32.836631438241426</v>
      </c>
      <c r="R15" s="88">
        <f t="shared" si="7"/>
        <v>32.137592140174881</v>
      </c>
      <c r="S15" s="88">
        <f>+B15*(C15*$R$24+(1-C15)*$R$25)</f>
        <v>0</v>
      </c>
      <c r="T15" s="84">
        <f t="shared" si="8"/>
        <v>-176.60536580958473</v>
      </c>
      <c r="U15" s="84">
        <f t="shared" si="14"/>
        <v>4538.7360802524227</v>
      </c>
      <c r="V15" s="96">
        <f t="shared" si="9"/>
        <v>-6.4920641307253391E-8</v>
      </c>
      <c r="W15" s="69"/>
      <c r="X15" s="69"/>
      <c r="Y15" s="69"/>
      <c r="Z15" s="69"/>
      <c r="AA15" s="69"/>
    </row>
    <row r="16" spans="1:27" ht="24.9" customHeight="1" x14ac:dyDescent="0.4">
      <c r="A16" s="80">
        <v>9</v>
      </c>
      <c r="B16" s="97"/>
      <c r="C16" s="98"/>
      <c r="D16" s="99">
        <f t="shared" si="10"/>
        <v>0</v>
      </c>
      <c r="E16" s="81"/>
      <c r="F16" s="81"/>
      <c r="G16" s="84">
        <f t="shared" si="11"/>
        <v>189.53046691183852</v>
      </c>
      <c r="H16" s="85">
        <f t="shared" si="2"/>
        <v>0.16016066262369935</v>
      </c>
      <c r="I16" s="95">
        <v>139.40929818795246</v>
      </c>
      <c r="J16" s="85">
        <f>+(I15*J15+G15*H15-B15*C15-G14*H14)/I16</f>
        <v>0.31382857651266399</v>
      </c>
      <c r="K16" s="95">
        <v>103.6618624690922</v>
      </c>
      <c r="L16" s="85">
        <f t="shared" si="0"/>
        <v>1.959461027268665</v>
      </c>
      <c r="M16" s="85">
        <f t="shared" si="1"/>
        <v>0.81702701077632056</v>
      </c>
      <c r="N16" s="87">
        <f t="shared" si="3"/>
        <v>1.0000000001694085</v>
      </c>
      <c r="O16" s="88">
        <f t="shared" si="4"/>
        <v>3.4871588948157992</v>
      </c>
      <c r="P16" s="88">
        <f t="shared" si="5"/>
        <v>-1.51404622389732</v>
      </c>
      <c r="Q16" s="88">
        <f t="shared" si="6"/>
        <v>33.17436196946268</v>
      </c>
      <c r="R16" s="88">
        <f t="shared" si="7"/>
        <v>32.555622807020562</v>
      </c>
      <c r="S16" s="88">
        <f t="shared" si="13"/>
        <v>0</v>
      </c>
      <c r="T16" s="84">
        <f t="shared" si="8"/>
        <v>-135.14468013106639</v>
      </c>
      <c r="U16" s="84">
        <f t="shared" si="14"/>
        <v>4565.6267505653695</v>
      </c>
      <c r="V16" s="96">
        <f t="shared" si="9"/>
        <v>-2.1222149371169508E-8</v>
      </c>
      <c r="W16" s="69"/>
      <c r="X16" s="69"/>
      <c r="Y16" s="69"/>
      <c r="Z16" s="69"/>
      <c r="AA16" s="69"/>
    </row>
    <row r="17" spans="1:27" ht="24.9" customHeight="1" thickBot="1" x14ac:dyDescent="0.45">
      <c r="A17" s="80">
        <v>10</v>
      </c>
      <c r="B17" s="100"/>
      <c r="C17" s="101"/>
      <c r="D17" s="102">
        <f t="shared" si="10"/>
        <v>0</v>
      </c>
      <c r="E17" s="81"/>
      <c r="F17" s="81"/>
      <c r="G17" s="84">
        <f t="shared" si="11"/>
        <v>190.03914692197017</v>
      </c>
      <c r="H17" s="85">
        <f t="shared" si="2"/>
        <v>9.4910020604649495E-2</v>
      </c>
      <c r="I17" s="95">
        <v>139.53046691183854</v>
      </c>
      <c r="J17" s="85">
        <f t="shared" si="12"/>
        <v>0.19959010603679789</v>
      </c>
      <c r="K17" s="95">
        <v>106.35354912555511</v>
      </c>
      <c r="L17" s="85">
        <f t="shared" si="0"/>
        <v>2.1029402877088859</v>
      </c>
      <c r="M17" s="85">
        <f t="shared" si="1"/>
        <v>0.88434289634265306</v>
      </c>
      <c r="N17" s="87">
        <f t="shared" si="3"/>
        <v>1.0000000001515312</v>
      </c>
      <c r="O17" s="88">
        <f t="shared" si="4"/>
        <v>3.8937968515401398</v>
      </c>
      <c r="P17" s="88">
        <f t="shared" si="5"/>
        <v>-0.93036744875839517</v>
      </c>
      <c r="Q17" s="88">
        <f t="shared" si="6"/>
        <v>33.459602724673196</v>
      </c>
      <c r="R17" s="88">
        <f t="shared" si="7"/>
        <v>32.908513080489008</v>
      </c>
      <c r="S17" s="88">
        <f t="shared" si="13"/>
        <v>0</v>
      </c>
      <c r="T17" s="84">
        <f t="shared" si="8"/>
        <v>-89.794621119409982</v>
      </c>
      <c r="U17" s="84">
        <f t="shared" si="14"/>
        <v>4607.0874362651093</v>
      </c>
      <c r="V17" s="96">
        <f t="shared" si="9"/>
        <v>8.1445250543765724E-9</v>
      </c>
      <c r="W17" s="69"/>
      <c r="X17" s="69"/>
      <c r="Y17" s="69"/>
      <c r="Z17" s="69"/>
      <c r="AA17" s="69"/>
    </row>
    <row r="18" spans="1:27" ht="24.9" customHeight="1" thickTop="1" thickBot="1" x14ac:dyDescent="0.45">
      <c r="A18" s="80" t="s">
        <v>14</v>
      </c>
      <c r="B18" s="81"/>
      <c r="C18" s="81"/>
      <c r="D18" s="81"/>
      <c r="E18" s="81"/>
      <c r="F18" s="81"/>
      <c r="G18" s="84">
        <f t="shared" si="11"/>
        <v>49.999999999999972</v>
      </c>
      <c r="H18" s="85">
        <f t="shared" si="2"/>
        <v>5.0128489551272623E-2</v>
      </c>
      <c r="I18" s="103">
        <v>140.0391469219702</v>
      </c>
      <c r="J18" s="85">
        <f t="shared" si="12"/>
        <v>0.11089895368347409</v>
      </c>
      <c r="K18" s="103">
        <v>108.31220008673372</v>
      </c>
      <c r="L18" s="85">
        <f t="shared" si="0"/>
        <v>2.2122939405553796</v>
      </c>
      <c r="M18" s="85">
        <f t="shared" si="1"/>
        <v>0.93602243717450451</v>
      </c>
      <c r="N18" s="87">
        <f t="shared" si="3"/>
        <v>1.000000000110767</v>
      </c>
      <c r="O18" s="88">
        <f t="shared" si="4"/>
        <v>4.1907594654243683</v>
      </c>
      <c r="P18" s="88">
        <f t="shared" si="5"/>
        <v>-0.5026926763023406</v>
      </c>
      <c r="Q18" s="88">
        <f t="shared" si="6"/>
        <v>33.668431932983388</v>
      </c>
      <c r="R18" s="88">
        <f t="shared" si="7"/>
        <v>33.16677329883229</v>
      </c>
      <c r="S18" s="88">
        <f t="shared" si="13"/>
        <v>0</v>
      </c>
      <c r="T18" s="84">
        <f t="shared" si="8"/>
        <v>-13.370850482819753</v>
      </c>
      <c r="U18" s="84">
        <f t="shared" si="14"/>
        <v>4652.4374952686212</v>
      </c>
      <c r="V18" s="91">
        <f>+T18+U18-T17</f>
        <v>4728.8612659052114</v>
      </c>
      <c r="W18" s="69"/>
      <c r="X18" s="69"/>
      <c r="Y18" s="69"/>
      <c r="Z18" s="69"/>
      <c r="AA18" s="69"/>
    </row>
    <row r="19" spans="1:27" ht="24.9" customHeight="1" thickTop="1" x14ac:dyDescent="0.55000000000000004">
      <c r="A19" s="80" t="s">
        <v>99</v>
      </c>
      <c r="B19" s="81">
        <f>+SUM(B8:B17)</f>
        <v>100</v>
      </c>
      <c r="C19" s="81">
        <f>+SUM(C8:C17)</f>
        <v>0.5</v>
      </c>
      <c r="D19" s="81"/>
      <c r="E19" s="81"/>
      <c r="F19" s="81"/>
      <c r="G19" s="104" t="s">
        <v>112</v>
      </c>
      <c r="H19" s="85">
        <f>+(SUM(D7:D17)-E7*F7)/G18</f>
        <v>5.01284896336293E-2</v>
      </c>
      <c r="I19" s="105"/>
      <c r="J19" s="105"/>
      <c r="K19" s="81"/>
      <c r="L19" s="81"/>
      <c r="M19" s="81"/>
      <c r="N19" s="81"/>
      <c r="O19" s="105"/>
      <c r="P19" s="106"/>
      <c r="Q19" s="106"/>
      <c r="R19" s="106"/>
      <c r="S19" s="106"/>
      <c r="T19" s="106"/>
      <c r="U19" s="106"/>
      <c r="V19" s="107"/>
      <c r="W19" s="69"/>
      <c r="X19" s="69"/>
      <c r="Y19" s="69"/>
      <c r="Z19" s="69"/>
      <c r="AA19" s="69"/>
    </row>
    <row r="20" spans="1:27" ht="24.9" customHeight="1" thickBot="1" x14ac:dyDescent="0.45">
      <c r="A20" s="108"/>
      <c r="B20" s="109"/>
      <c r="C20" s="109"/>
      <c r="D20" s="109"/>
      <c r="E20" s="109"/>
      <c r="F20" s="109"/>
      <c r="G20" s="110" t="s">
        <v>179</v>
      </c>
      <c r="H20" s="276">
        <f>+H18-H19</f>
        <v>-8.23566770336015E-11</v>
      </c>
      <c r="I20" s="112"/>
      <c r="J20" s="112"/>
      <c r="K20" s="109"/>
      <c r="L20" s="109"/>
      <c r="M20" s="109"/>
      <c r="N20" s="109"/>
      <c r="O20" s="112"/>
      <c r="P20" s="113"/>
      <c r="Q20" s="113"/>
      <c r="R20" s="113"/>
      <c r="S20" s="113"/>
      <c r="T20" s="113"/>
      <c r="U20" s="113"/>
      <c r="V20" s="114"/>
      <c r="W20" s="69"/>
      <c r="X20" s="69"/>
      <c r="Y20" s="69"/>
      <c r="Z20" s="69"/>
      <c r="AA20" s="69"/>
    </row>
    <row r="21" spans="1:27" ht="24.9" customHeight="1" thickTop="1" thickBot="1" x14ac:dyDescent="0.45">
      <c r="A21" s="115"/>
      <c r="B21" s="115"/>
      <c r="C21" s="115"/>
      <c r="D21" s="115"/>
      <c r="E21" s="115"/>
      <c r="F21" s="115"/>
      <c r="G21" s="116"/>
      <c r="H21" s="117"/>
      <c r="I21" s="118"/>
      <c r="J21" s="118"/>
      <c r="K21" s="115"/>
      <c r="L21" s="115"/>
      <c r="M21" s="115"/>
      <c r="N21" s="115"/>
      <c r="O21" s="65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  <row r="22" spans="1:27" ht="24.9" customHeight="1" thickTop="1" x14ac:dyDescent="0.65">
      <c r="A22" s="119" t="s">
        <v>5</v>
      </c>
      <c r="B22" s="120"/>
      <c r="C22" s="120"/>
      <c r="D22" s="121"/>
      <c r="E22" s="317" t="s">
        <v>113</v>
      </c>
      <c r="F22" s="318"/>
      <c r="G22" s="318"/>
      <c r="H22" s="319"/>
      <c r="I22" s="317" t="s">
        <v>114</v>
      </c>
      <c r="J22" s="319"/>
      <c r="K22" s="122" t="s">
        <v>115</v>
      </c>
      <c r="L22" s="122" t="s">
        <v>116</v>
      </c>
      <c r="M22" s="122" t="s">
        <v>70</v>
      </c>
      <c r="N22" s="122" t="s">
        <v>117</v>
      </c>
      <c r="O22" s="123" t="s">
        <v>72</v>
      </c>
      <c r="Q22" s="285" t="s">
        <v>124</v>
      </c>
      <c r="R22" s="120"/>
      <c r="S22" s="286"/>
      <c r="T22" s="287"/>
      <c r="U22" s="194"/>
      <c r="V22" s="194"/>
      <c r="W22" s="286"/>
      <c r="X22" s="288"/>
      <c r="Y22" s="65"/>
      <c r="Z22" s="65"/>
      <c r="AA22" s="69"/>
    </row>
    <row r="23" spans="1:27" ht="24.9" customHeight="1" x14ac:dyDescent="0.5">
      <c r="A23" s="127"/>
      <c r="B23" s="128" t="s">
        <v>8</v>
      </c>
      <c r="C23" s="128" t="s">
        <v>9</v>
      </c>
      <c r="D23" s="129" t="s">
        <v>10</v>
      </c>
      <c r="E23" s="130" t="s">
        <v>73</v>
      </c>
      <c r="F23" s="130" t="s">
        <v>74</v>
      </c>
      <c r="G23" s="130" t="s">
        <v>75</v>
      </c>
      <c r="H23" s="130" t="s">
        <v>76</v>
      </c>
      <c r="I23" s="131" t="s">
        <v>73</v>
      </c>
      <c r="J23" s="132" t="s">
        <v>74</v>
      </c>
      <c r="K23" s="130"/>
      <c r="L23" s="130"/>
      <c r="M23" s="130"/>
      <c r="N23" s="133"/>
      <c r="O23" s="134"/>
      <c r="Q23" s="289" t="s">
        <v>121</v>
      </c>
      <c r="R23" s="166"/>
      <c r="S23" s="266"/>
      <c r="T23" s="267"/>
      <c r="U23" s="128"/>
      <c r="V23" s="284"/>
      <c r="W23" s="266"/>
      <c r="X23" s="290"/>
      <c r="Y23" s="65"/>
      <c r="Z23" s="65"/>
      <c r="AA23" s="69"/>
    </row>
    <row r="24" spans="1:27" ht="24.9" customHeight="1" thickBot="1" x14ac:dyDescent="0.7">
      <c r="A24" s="127" t="s">
        <v>6</v>
      </c>
      <c r="B24" s="128">
        <v>6.8927199999999997</v>
      </c>
      <c r="C24" s="128">
        <v>1203.5309999999999</v>
      </c>
      <c r="D24" s="129">
        <v>219.88800000000001</v>
      </c>
      <c r="E24" s="135">
        <v>7.4060000000000001E-2</v>
      </c>
      <c r="F24" s="135">
        <v>3.2949999999999999E-4</v>
      </c>
      <c r="G24" s="135">
        <v>-2.5199999999999998E-7</v>
      </c>
      <c r="H24" s="135">
        <v>7.7569999999999997E-11</v>
      </c>
      <c r="I24" s="136">
        <v>0.1265</v>
      </c>
      <c r="J24" s="137">
        <v>2.34E-4</v>
      </c>
      <c r="K24" s="138">
        <v>80.099999999999994</v>
      </c>
      <c r="L24" s="139">
        <v>30.765000000000001</v>
      </c>
      <c r="M24" s="138">
        <v>78.11</v>
      </c>
      <c r="N24" s="130">
        <v>879</v>
      </c>
      <c r="O24" s="140">
        <f>+M24/N24</f>
        <v>8.8862343572241181E-2</v>
      </c>
      <c r="Q24" s="291" t="s">
        <v>123</v>
      </c>
      <c r="R24" s="292"/>
      <c r="S24" s="293"/>
      <c r="T24" s="294"/>
      <c r="U24" s="143"/>
      <c r="V24" s="295"/>
      <c r="W24" s="296"/>
      <c r="X24" s="168"/>
      <c r="Y24" s="65"/>
      <c r="Z24" s="65"/>
      <c r="AA24" s="69"/>
    </row>
    <row r="25" spans="1:27" ht="24.9" customHeight="1" thickTop="1" thickBot="1" x14ac:dyDescent="0.45">
      <c r="A25" s="142" t="s">
        <v>7</v>
      </c>
      <c r="B25" s="143">
        <v>6.9580500000000001</v>
      </c>
      <c r="C25" s="143">
        <v>1346.7729999999999</v>
      </c>
      <c r="D25" s="144">
        <v>219.69300000000001</v>
      </c>
      <c r="E25" s="145">
        <v>9.418E-2</v>
      </c>
      <c r="F25" s="145">
        <v>3.8000000000000002E-4</v>
      </c>
      <c r="G25" s="145">
        <v>-2.7860000000000002E-7</v>
      </c>
      <c r="H25" s="145">
        <v>8.0329999999999996E-11</v>
      </c>
      <c r="I25" s="146">
        <v>0.14879999999999999</v>
      </c>
      <c r="J25" s="147">
        <v>3.2400000000000001E-4</v>
      </c>
      <c r="K25" s="148">
        <v>110.62</v>
      </c>
      <c r="L25" s="149">
        <v>33.47</v>
      </c>
      <c r="M25" s="148">
        <v>92.13</v>
      </c>
      <c r="N25" s="150">
        <v>866</v>
      </c>
      <c r="O25" s="151">
        <f>+M25/N25</f>
        <v>0.10638568129330253</v>
      </c>
      <c r="P25" s="65"/>
      <c r="Q25" s="115"/>
      <c r="R25" s="141"/>
      <c r="S25" s="124"/>
      <c r="T25" s="125"/>
      <c r="U25" s="126"/>
      <c r="V25" s="126"/>
      <c r="W25" s="125"/>
      <c r="X25" s="65"/>
      <c r="Y25" s="65"/>
      <c r="Z25" s="65"/>
      <c r="AA25" s="69"/>
    </row>
    <row r="26" spans="1:27" ht="24.9" customHeight="1" thickTop="1" thickBot="1" x14ac:dyDescent="0.45">
      <c r="A26" s="65"/>
      <c r="B26" s="65"/>
      <c r="C26" s="65"/>
      <c r="D26" s="65"/>
      <c r="E26" s="65"/>
      <c r="F26" s="65"/>
      <c r="G26" s="65"/>
      <c r="H26" s="65"/>
      <c r="I26" s="65"/>
      <c r="J26" s="124"/>
      <c r="K26" s="65"/>
      <c r="L26" s="65"/>
      <c r="M26" s="65"/>
      <c r="N26" s="65"/>
      <c r="O26" s="65"/>
      <c r="P26" s="65"/>
      <c r="Q26" s="115"/>
      <c r="R26" s="152"/>
      <c r="S26" s="124"/>
      <c r="T26" s="125"/>
      <c r="U26" s="126"/>
      <c r="V26" s="126"/>
      <c r="W26" s="125"/>
      <c r="X26" s="65"/>
      <c r="Y26" s="65"/>
      <c r="Z26" s="65"/>
      <c r="AA26" s="69"/>
    </row>
    <row r="27" spans="1:27" ht="24.9" customHeight="1" thickTop="1" x14ac:dyDescent="0.4">
      <c r="A27" s="119" t="s">
        <v>17</v>
      </c>
      <c r="B27" s="120"/>
      <c r="C27" s="153"/>
      <c r="D27" s="65"/>
      <c r="E27" s="315" t="s">
        <v>36</v>
      </c>
      <c r="F27" s="316"/>
      <c r="G27" s="65"/>
      <c r="H27" s="119" t="s">
        <v>2</v>
      </c>
      <c r="I27" s="120"/>
      <c r="J27" s="120"/>
      <c r="K27" s="120"/>
      <c r="L27" s="120"/>
      <c r="M27" s="121"/>
      <c r="N27" s="65"/>
      <c r="O27" s="65"/>
      <c r="P27" s="65"/>
      <c r="Q27" s="115"/>
      <c r="R27" s="154"/>
      <c r="S27" s="124"/>
      <c r="T27" s="125"/>
      <c r="U27" s="126"/>
      <c r="V27" s="126"/>
      <c r="W27" s="125"/>
      <c r="X27" s="65"/>
      <c r="Y27" s="65"/>
      <c r="Z27" s="65"/>
      <c r="AA27" s="69"/>
    </row>
    <row r="28" spans="1:27" ht="24.9" customHeight="1" x14ac:dyDescent="0.4">
      <c r="A28" s="155" t="s">
        <v>18</v>
      </c>
      <c r="B28" s="128" t="s">
        <v>34</v>
      </c>
      <c r="C28" s="129" t="s">
        <v>33</v>
      </c>
      <c r="D28" s="125"/>
      <c r="E28" s="155" t="s">
        <v>3</v>
      </c>
      <c r="F28" s="129" t="s">
        <v>4</v>
      </c>
      <c r="G28" s="65"/>
      <c r="H28" s="155" t="s">
        <v>1</v>
      </c>
      <c r="I28" s="128" t="s">
        <v>19</v>
      </c>
      <c r="J28" s="128" t="s">
        <v>20</v>
      </c>
      <c r="K28" s="128" t="s">
        <v>1</v>
      </c>
      <c r="L28" s="128" t="s">
        <v>12</v>
      </c>
      <c r="M28" s="129" t="s">
        <v>1</v>
      </c>
      <c r="N28" s="65"/>
      <c r="O28" s="65"/>
      <c r="P28" s="65"/>
      <c r="Q28" s="65"/>
      <c r="R28" s="65"/>
      <c r="S28" s="124"/>
      <c r="T28" s="125"/>
      <c r="U28" s="126"/>
      <c r="V28" s="126"/>
      <c r="W28" s="125"/>
      <c r="X28" s="65"/>
      <c r="Y28" s="65"/>
      <c r="Z28" s="65"/>
      <c r="AA28" s="69"/>
    </row>
    <row r="29" spans="1:27" ht="24.9" customHeight="1" thickBot="1" x14ac:dyDescent="0.45">
      <c r="A29" s="155">
        <v>0</v>
      </c>
      <c r="B29" s="156">
        <f>+($B$3/($B$3+1))*A29+(1/(1+$B$3))*$F$7</f>
        <v>0.31662383678879025</v>
      </c>
      <c r="C29" s="157">
        <f>+($G$17/$I$18)*A29-($G$18/$I$18)*$H$18</f>
        <v>-1.7898027320604925E-2</v>
      </c>
      <c r="D29" s="126"/>
      <c r="E29" s="158">
        <f>+H7</f>
        <v>0.94987151036637074</v>
      </c>
      <c r="F29" s="157">
        <f>+J8</f>
        <v>0.94987151036637074</v>
      </c>
      <c r="G29" s="65"/>
      <c r="H29" s="159" t="s">
        <v>21</v>
      </c>
      <c r="I29" s="160">
        <f t="shared" ref="I29:I40" si="15">+G7</f>
        <v>100</v>
      </c>
      <c r="J29" s="160"/>
      <c r="K29" s="161" t="s">
        <v>21</v>
      </c>
      <c r="L29" s="162">
        <f t="shared" ref="L29:L40" si="16">+K7</f>
        <v>81.120522832974117</v>
      </c>
      <c r="M29" s="163" t="s">
        <v>21</v>
      </c>
      <c r="N29" s="65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</row>
    <row r="30" spans="1:27" ht="24.9" customHeight="1" thickTop="1" x14ac:dyDescent="0.55000000000000004">
      <c r="A30" s="155">
        <v>0.1</v>
      </c>
      <c r="B30" s="156">
        <f t="shared" ref="B30:B39" si="17">+($B$3/($B$3+1))*A30+(1/(1+$B$3))*$F$7</f>
        <v>0.3832905034554569</v>
      </c>
      <c r="C30" s="157">
        <f t="shared" ref="C30:C39" si="18">+($G$17/$I$18)*A30-($G$18/$I$18)*$H$18</f>
        <v>0.11780627472563644</v>
      </c>
      <c r="D30" s="65"/>
      <c r="E30" s="158">
        <f>+H8</f>
        <v>0.88028650668004194</v>
      </c>
      <c r="F30" s="157">
        <f>+J8</f>
        <v>0.94987151036637074</v>
      </c>
      <c r="G30" s="65"/>
      <c r="H30" s="159" t="s">
        <v>22</v>
      </c>
      <c r="I30" s="160">
        <f t="shared" si="15"/>
        <v>98.526373427192453</v>
      </c>
      <c r="J30" s="160">
        <f t="shared" ref="J30:J40" si="19">+I8</f>
        <v>150</v>
      </c>
      <c r="K30" s="161" t="s">
        <v>22</v>
      </c>
      <c r="L30" s="162">
        <f t="shared" si="16"/>
        <v>82.592938999651977</v>
      </c>
      <c r="M30" s="163" t="s">
        <v>22</v>
      </c>
      <c r="N30" s="65"/>
      <c r="O30" s="119" t="s">
        <v>180</v>
      </c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5"/>
      <c r="AA30" s="69"/>
    </row>
    <row r="31" spans="1:27" ht="24.9" customHeight="1" thickBot="1" x14ac:dyDescent="0.45">
      <c r="A31" s="155">
        <v>0.2</v>
      </c>
      <c r="B31" s="156">
        <f t="shared" si="17"/>
        <v>0.44995717012212355</v>
      </c>
      <c r="C31" s="157">
        <f t="shared" si="18"/>
        <v>0.25351057677187783</v>
      </c>
      <c r="D31" s="65"/>
      <c r="E31" s="158">
        <f>+H8</f>
        <v>0.88028650668004194</v>
      </c>
      <c r="F31" s="157">
        <f>+J9</f>
        <v>0.90371164057400322</v>
      </c>
      <c r="G31" s="65"/>
      <c r="H31" s="159" t="s">
        <v>23</v>
      </c>
      <c r="I31" s="160">
        <f t="shared" si="15"/>
        <v>96.772230651661147</v>
      </c>
      <c r="J31" s="160">
        <f t="shared" si="19"/>
        <v>148.52637342719245</v>
      </c>
      <c r="K31" s="161" t="s">
        <v>23</v>
      </c>
      <c r="L31" s="162">
        <f t="shared" si="16"/>
        <v>84.708549461413099</v>
      </c>
      <c r="M31" s="163" t="s">
        <v>23</v>
      </c>
      <c r="N31" s="65"/>
      <c r="O31" s="127"/>
      <c r="P31" s="166" t="s">
        <v>81</v>
      </c>
      <c r="Q31" s="166"/>
      <c r="R31" s="166"/>
      <c r="S31" s="156"/>
      <c r="T31" s="156"/>
      <c r="U31" s="166"/>
      <c r="V31" s="167" t="s">
        <v>82</v>
      </c>
      <c r="W31" s="167"/>
      <c r="X31" s="167"/>
      <c r="Y31" s="167"/>
      <c r="Z31" s="168"/>
      <c r="AA31" s="69"/>
    </row>
    <row r="32" spans="1:27" ht="24.9" customHeight="1" thickTop="1" x14ac:dyDescent="0.4">
      <c r="A32" s="155">
        <v>0.3</v>
      </c>
      <c r="B32" s="156">
        <f t="shared" si="17"/>
        <v>0.5166238367887902</v>
      </c>
      <c r="C32" s="157">
        <f t="shared" si="18"/>
        <v>0.38921487881811923</v>
      </c>
      <c r="D32" s="65"/>
      <c r="E32" s="158">
        <f>+H9</f>
        <v>0.78587484819181785</v>
      </c>
      <c r="F32" s="157">
        <f>+J9</f>
        <v>0.90371164057400322</v>
      </c>
      <c r="G32" s="65"/>
      <c r="H32" s="159" t="s">
        <v>24</v>
      </c>
      <c r="I32" s="160">
        <f t="shared" si="15"/>
        <v>95.075932548686211</v>
      </c>
      <c r="J32" s="160">
        <f t="shared" si="19"/>
        <v>146.77223065166115</v>
      </c>
      <c r="K32" s="161" t="s">
        <v>24</v>
      </c>
      <c r="L32" s="162">
        <f t="shared" si="16"/>
        <v>87.327472988119183</v>
      </c>
      <c r="M32" s="163" t="s">
        <v>24</v>
      </c>
      <c r="N32" s="65"/>
      <c r="O32" s="155" t="s">
        <v>1</v>
      </c>
      <c r="P32" s="169" t="s">
        <v>83</v>
      </c>
      <c r="Q32" s="170" t="s">
        <v>84</v>
      </c>
      <c r="R32" s="170" t="s">
        <v>20</v>
      </c>
      <c r="S32" s="170" t="s">
        <v>19</v>
      </c>
      <c r="T32" s="170" t="s">
        <v>4</v>
      </c>
      <c r="U32" s="171" t="s">
        <v>3</v>
      </c>
      <c r="V32" s="172" t="s">
        <v>19</v>
      </c>
      <c r="W32" s="173" t="s">
        <v>3</v>
      </c>
      <c r="X32" s="173" t="s">
        <v>20</v>
      </c>
      <c r="Y32" s="173" t="s">
        <v>4</v>
      </c>
      <c r="Z32" s="174" t="s">
        <v>12</v>
      </c>
      <c r="AA32" s="69"/>
    </row>
    <row r="33" spans="1:27" ht="24.9" customHeight="1" x14ac:dyDescent="0.4">
      <c r="A33" s="155">
        <v>0.4</v>
      </c>
      <c r="B33" s="156">
        <f t="shared" si="17"/>
        <v>0.58329050345545697</v>
      </c>
      <c r="C33" s="157">
        <f t="shared" si="18"/>
        <v>0.52491918086436051</v>
      </c>
      <c r="D33" s="65"/>
      <c r="E33" s="158">
        <f>+H9</f>
        <v>0.78587484819181785</v>
      </c>
      <c r="F33" s="157">
        <f>+J10</f>
        <v>0.84174259015036723</v>
      </c>
      <c r="G33" s="65"/>
      <c r="H33" s="159" t="s">
        <v>25</v>
      </c>
      <c r="I33" s="160">
        <f t="shared" si="15"/>
        <v>93.754752648264372</v>
      </c>
      <c r="J33" s="160">
        <f t="shared" si="19"/>
        <v>145.07593254868621</v>
      </c>
      <c r="K33" s="161" t="s">
        <v>25</v>
      </c>
      <c r="L33" s="162">
        <f t="shared" si="16"/>
        <v>90.051837503828494</v>
      </c>
      <c r="M33" s="163" t="s">
        <v>25</v>
      </c>
      <c r="N33" s="65"/>
      <c r="O33" s="175"/>
      <c r="P33" s="176" t="s">
        <v>118</v>
      </c>
      <c r="Q33" s="177" t="s">
        <v>85</v>
      </c>
      <c r="R33" s="178" t="s">
        <v>86</v>
      </c>
      <c r="S33" s="178" t="s">
        <v>86</v>
      </c>
      <c r="T33" s="178" t="s">
        <v>61</v>
      </c>
      <c r="U33" s="179" t="s">
        <v>61</v>
      </c>
      <c r="V33" s="172" t="s">
        <v>86</v>
      </c>
      <c r="W33" s="173" t="s">
        <v>61</v>
      </c>
      <c r="X33" s="173" t="s">
        <v>86</v>
      </c>
      <c r="Y33" s="173" t="s">
        <v>61</v>
      </c>
      <c r="Z33" s="174" t="s">
        <v>119</v>
      </c>
      <c r="AA33" s="69"/>
    </row>
    <row r="34" spans="1:27" ht="24.9" customHeight="1" x14ac:dyDescent="0.4">
      <c r="A34" s="155">
        <v>0.5</v>
      </c>
      <c r="B34" s="156">
        <f t="shared" si="17"/>
        <v>0.64995717012212362</v>
      </c>
      <c r="C34" s="157">
        <f t="shared" si="18"/>
        <v>0.66062348291060191</v>
      </c>
      <c r="D34" s="65"/>
      <c r="E34" s="158">
        <f>+H10</f>
        <v>0.67736026501425806</v>
      </c>
      <c r="F34" s="157">
        <f>+J10</f>
        <v>0.84174259015036723</v>
      </c>
      <c r="G34" s="65"/>
      <c r="H34" s="159" t="s">
        <v>26</v>
      </c>
      <c r="I34" s="160">
        <f t="shared" si="15"/>
        <v>191.94824737770782</v>
      </c>
      <c r="J34" s="160">
        <f t="shared" si="19"/>
        <v>143.75475264826437</v>
      </c>
      <c r="K34" s="161" t="s">
        <v>26</v>
      </c>
      <c r="L34" s="162">
        <f t="shared" si="16"/>
        <v>92.435793369203125</v>
      </c>
      <c r="M34" s="163" t="s">
        <v>26</v>
      </c>
      <c r="N34" s="65"/>
      <c r="O34" s="155">
        <v>1</v>
      </c>
      <c r="P34" s="176">
        <v>81.099999999999994</v>
      </c>
      <c r="Q34" s="177">
        <v>-4679</v>
      </c>
      <c r="R34" s="180" t="s">
        <v>177</v>
      </c>
      <c r="S34" s="180">
        <v>100</v>
      </c>
      <c r="T34" s="178"/>
      <c r="U34" s="181">
        <v>0.95065060000000001</v>
      </c>
      <c r="V34" s="172">
        <v>100</v>
      </c>
      <c r="W34" s="182">
        <v>0.95428023829520192</v>
      </c>
      <c r="X34" s="173"/>
      <c r="Y34" s="173"/>
      <c r="Z34" s="183">
        <v>81.029557082400501</v>
      </c>
      <c r="AA34" s="69"/>
    </row>
    <row r="35" spans="1:27" ht="24.9" customHeight="1" x14ac:dyDescent="0.4">
      <c r="A35" s="155">
        <v>0.6</v>
      </c>
      <c r="B35" s="156">
        <f t="shared" si="17"/>
        <v>0.71662383678879027</v>
      </c>
      <c r="C35" s="157">
        <f t="shared" si="18"/>
        <v>0.79632778495684331</v>
      </c>
      <c r="D35" s="65"/>
      <c r="E35" s="158">
        <f>+H10</f>
        <v>0.67736026501425806</v>
      </c>
      <c r="F35" s="157">
        <f>+J11</f>
        <v>0.77128047650787068</v>
      </c>
      <c r="G35" s="65"/>
      <c r="H35" s="159" t="s">
        <v>27</v>
      </c>
      <c r="I35" s="160">
        <f t="shared" si="15"/>
        <v>190.85944684295862</v>
      </c>
      <c r="J35" s="160">
        <f t="shared" si="19"/>
        <v>141.94824737770779</v>
      </c>
      <c r="K35" s="161" t="s">
        <v>27</v>
      </c>
      <c r="L35" s="162">
        <f t="shared" si="16"/>
        <v>94.45103601899396</v>
      </c>
      <c r="M35" s="163" t="s">
        <v>27</v>
      </c>
      <c r="N35" s="65"/>
      <c r="O35" s="155">
        <v>2</v>
      </c>
      <c r="P35" s="176">
        <v>82.6</v>
      </c>
      <c r="Q35" s="178"/>
      <c r="R35" s="180">
        <v>150</v>
      </c>
      <c r="S35" s="180">
        <v>98.69</v>
      </c>
      <c r="T35" s="184">
        <v>0.95065066666666664</v>
      </c>
      <c r="U35" s="181">
        <v>0.88184447297515023</v>
      </c>
      <c r="V35" s="172">
        <v>100</v>
      </c>
      <c r="W35" s="182">
        <v>0.89003191769879952</v>
      </c>
      <c r="X35" s="173">
        <v>150</v>
      </c>
      <c r="Y35" s="182">
        <v>0.95428023829520192</v>
      </c>
      <c r="Z35" s="183">
        <v>82.382469290930004</v>
      </c>
      <c r="AA35" s="69"/>
    </row>
    <row r="36" spans="1:27" ht="24.9" customHeight="1" x14ac:dyDescent="0.4">
      <c r="A36" s="155">
        <v>0.7</v>
      </c>
      <c r="B36" s="156">
        <f t="shared" si="17"/>
        <v>0.78329050345545692</v>
      </c>
      <c r="C36" s="157">
        <f t="shared" si="18"/>
        <v>0.9320320870030846</v>
      </c>
      <c r="D36" s="65"/>
      <c r="E36" s="158">
        <f>+H11</f>
        <v>0.57334707391038442</v>
      </c>
      <c r="F36" s="157">
        <f>+J11</f>
        <v>0.77128047650787068</v>
      </c>
      <c r="G36" s="65"/>
      <c r="H36" s="159" t="s">
        <v>28</v>
      </c>
      <c r="I36" s="160">
        <f t="shared" si="15"/>
        <v>189.89198035814653</v>
      </c>
      <c r="J36" s="160">
        <f t="shared" si="19"/>
        <v>140.85944684295859</v>
      </c>
      <c r="K36" s="161" t="s">
        <v>28</v>
      </c>
      <c r="L36" s="162">
        <f t="shared" si="16"/>
        <v>97.207723517601693</v>
      </c>
      <c r="M36" s="163" t="s">
        <v>28</v>
      </c>
      <c r="N36" s="65"/>
      <c r="O36" s="155">
        <v>3</v>
      </c>
      <c r="P36" s="176">
        <v>84.7</v>
      </c>
      <c r="Q36" s="178"/>
      <c r="R36" s="180">
        <v>148.69</v>
      </c>
      <c r="S36" s="180">
        <v>97.09</v>
      </c>
      <c r="T36" s="184">
        <v>0.90498261090048704</v>
      </c>
      <c r="U36" s="181">
        <v>0.78805919111247524</v>
      </c>
      <c r="V36" s="172">
        <v>100</v>
      </c>
      <c r="W36" s="182">
        <v>0.80079651031873944</v>
      </c>
      <c r="X36" s="173">
        <v>150</v>
      </c>
      <c r="Y36" s="182">
        <v>0.91144802456426699</v>
      </c>
      <c r="Z36" s="183">
        <v>84.364600718395764</v>
      </c>
      <c r="AA36" s="69"/>
    </row>
    <row r="37" spans="1:27" ht="24.9" customHeight="1" x14ac:dyDescent="0.4">
      <c r="A37" s="155">
        <v>0.8</v>
      </c>
      <c r="B37" s="156">
        <f t="shared" si="17"/>
        <v>0.84995717012212357</v>
      </c>
      <c r="C37" s="157">
        <f t="shared" si="18"/>
        <v>1.0677363890493261</v>
      </c>
      <c r="D37" s="65"/>
      <c r="E37" s="158">
        <f>+H11</f>
        <v>0.57334707391038442</v>
      </c>
      <c r="F37" s="157">
        <f>+J12</f>
        <v>0.7043077654769645</v>
      </c>
      <c r="G37" s="65"/>
      <c r="H37" s="159" t="s">
        <v>29</v>
      </c>
      <c r="I37" s="160">
        <f t="shared" si="15"/>
        <v>189.40929818795246</v>
      </c>
      <c r="J37" s="160">
        <f t="shared" si="19"/>
        <v>139.8919803581465</v>
      </c>
      <c r="K37" s="161" t="s">
        <v>29</v>
      </c>
      <c r="L37" s="162">
        <f t="shared" si="16"/>
        <v>100.44981618691679</v>
      </c>
      <c r="M37" s="163" t="s">
        <v>29</v>
      </c>
      <c r="N37" s="65"/>
      <c r="O37" s="155">
        <v>4</v>
      </c>
      <c r="P37" s="176">
        <v>87.3</v>
      </c>
      <c r="Q37" s="178"/>
      <c r="R37" s="180">
        <v>147.09</v>
      </c>
      <c r="S37" s="180">
        <v>95.5</v>
      </c>
      <c r="T37" s="184">
        <v>0.84332889837370462</v>
      </c>
      <c r="U37" s="181">
        <v>0.67960797331060363</v>
      </c>
      <c r="V37" s="172">
        <v>100</v>
      </c>
      <c r="W37" s="182">
        <v>0.69402004045995358</v>
      </c>
      <c r="X37" s="173">
        <v>150</v>
      </c>
      <c r="Y37" s="182">
        <v>0.85195775297756049</v>
      </c>
      <c r="Z37" s="183">
        <v>86.911347844252276</v>
      </c>
      <c r="AA37" s="69"/>
    </row>
    <row r="38" spans="1:27" ht="24.9" customHeight="1" x14ac:dyDescent="0.4">
      <c r="A38" s="155">
        <v>0.9</v>
      </c>
      <c r="B38" s="156">
        <f t="shared" si="17"/>
        <v>0.91662383678879022</v>
      </c>
      <c r="C38" s="157">
        <f t="shared" si="18"/>
        <v>1.2034406910955675</v>
      </c>
      <c r="D38" s="65"/>
      <c r="E38" s="158">
        <f>+H12</f>
        <v>0.48902165659957769</v>
      </c>
      <c r="F38" s="157">
        <f>+J12</f>
        <v>0.7043077654769645</v>
      </c>
      <c r="G38" s="65"/>
      <c r="H38" s="159" t="s">
        <v>30</v>
      </c>
      <c r="I38" s="160">
        <f t="shared" si="15"/>
        <v>189.53046691183852</v>
      </c>
      <c r="J38" s="160">
        <f t="shared" si="19"/>
        <v>139.40929818795246</v>
      </c>
      <c r="K38" s="161" t="s">
        <v>30</v>
      </c>
      <c r="L38" s="162">
        <f t="shared" si="16"/>
        <v>103.6618624690922</v>
      </c>
      <c r="M38" s="163" t="s">
        <v>30</v>
      </c>
      <c r="N38" s="65"/>
      <c r="O38" s="155">
        <v>5</v>
      </c>
      <c r="P38" s="176">
        <v>90</v>
      </c>
      <c r="Q38" s="178"/>
      <c r="R38" s="180">
        <v>145.5</v>
      </c>
      <c r="S38" s="180">
        <v>94.21</v>
      </c>
      <c r="T38" s="184">
        <v>0.77275112801850188</v>
      </c>
      <c r="U38" s="181">
        <v>0.57500703230401629</v>
      </c>
      <c r="V38" s="172">
        <v>100</v>
      </c>
      <c r="W38" s="182">
        <v>0.5863545886244077</v>
      </c>
      <c r="X38" s="173">
        <v>150</v>
      </c>
      <c r="Y38" s="182">
        <v>0.78077343973836977</v>
      </c>
      <c r="Z38" s="183">
        <v>89.698646628706015</v>
      </c>
      <c r="AA38" s="69"/>
    </row>
    <row r="39" spans="1:27" ht="24.9" customHeight="1" thickBot="1" x14ac:dyDescent="0.45">
      <c r="A39" s="185">
        <v>1</v>
      </c>
      <c r="B39" s="186">
        <f t="shared" si="17"/>
        <v>0.98329050345545688</v>
      </c>
      <c r="C39" s="187">
        <f t="shared" si="18"/>
        <v>1.3391449931418089</v>
      </c>
      <c r="D39" s="65"/>
      <c r="E39" s="158">
        <f>+H12</f>
        <v>0.48902165659957769</v>
      </c>
      <c r="F39" s="157">
        <f>+J13</f>
        <v>0.64361784749093331</v>
      </c>
      <c r="G39" s="65"/>
      <c r="H39" s="159" t="s">
        <v>31</v>
      </c>
      <c r="I39" s="160">
        <f t="shared" si="15"/>
        <v>190.03914692197017</v>
      </c>
      <c r="J39" s="160">
        <f t="shared" si="19"/>
        <v>139.53046691183854</v>
      </c>
      <c r="K39" s="161" t="s">
        <v>31</v>
      </c>
      <c r="L39" s="162">
        <f t="shared" si="16"/>
        <v>106.35354912555511</v>
      </c>
      <c r="M39" s="163" t="s">
        <v>31</v>
      </c>
      <c r="N39" s="65"/>
      <c r="O39" s="155">
        <v>6</v>
      </c>
      <c r="P39" s="176">
        <v>92.5</v>
      </c>
      <c r="Q39" s="178"/>
      <c r="R39" s="180">
        <v>144.21</v>
      </c>
      <c r="S39" s="180">
        <v>193.3</v>
      </c>
      <c r="T39" s="184">
        <v>0.70525046790020818</v>
      </c>
      <c r="U39" s="181">
        <v>0.48979427346982907</v>
      </c>
      <c r="V39" s="172">
        <v>200</v>
      </c>
      <c r="W39" s="182">
        <v>0.49453685094338046</v>
      </c>
      <c r="X39" s="173">
        <v>150</v>
      </c>
      <c r="Y39" s="182">
        <v>0.70899647184800596</v>
      </c>
      <c r="Z39" s="183">
        <v>92.274670628161672</v>
      </c>
      <c r="AA39" s="69"/>
    </row>
    <row r="40" spans="1:27" ht="24.9" customHeight="1" thickTop="1" thickBot="1" x14ac:dyDescent="0.45">
      <c r="A40" s="65"/>
      <c r="B40" s="65"/>
      <c r="C40" s="65"/>
      <c r="D40" s="65"/>
      <c r="E40" s="158">
        <f>+H13</f>
        <v>0.42217148889863931</v>
      </c>
      <c r="F40" s="157">
        <f>+J13</f>
        <v>0.64361784749093331</v>
      </c>
      <c r="G40" s="65"/>
      <c r="H40" s="188" t="s">
        <v>0</v>
      </c>
      <c r="I40" s="189">
        <f t="shared" si="15"/>
        <v>49.999999999999972</v>
      </c>
      <c r="J40" s="189">
        <f t="shared" si="19"/>
        <v>140.0391469219702</v>
      </c>
      <c r="K40" s="190" t="s">
        <v>0</v>
      </c>
      <c r="L40" s="191">
        <f t="shared" si="16"/>
        <v>108.31220008673372</v>
      </c>
      <c r="M40" s="192" t="s">
        <v>0</v>
      </c>
      <c r="N40" s="65"/>
      <c r="O40" s="155">
        <v>7</v>
      </c>
      <c r="P40" s="176">
        <v>94.5</v>
      </c>
      <c r="Q40" s="178"/>
      <c r="R40" s="180">
        <v>143.30000000000001</v>
      </c>
      <c r="S40" s="180">
        <v>192.1</v>
      </c>
      <c r="T40" s="184">
        <v>0.64347325162613056</v>
      </c>
      <c r="U40" s="181">
        <v>0.42170858650430409</v>
      </c>
      <c r="V40" s="172">
        <v>200</v>
      </c>
      <c r="W40" s="182">
        <v>0.42271591846459361</v>
      </c>
      <c r="X40" s="173">
        <v>150</v>
      </c>
      <c r="Y40" s="182">
        <v>0.64414254735624143</v>
      </c>
      <c r="Z40" s="183">
        <v>94.434141337462577</v>
      </c>
      <c r="AA40" s="69"/>
    </row>
    <row r="41" spans="1:27" ht="24.9" customHeight="1" thickTop="1" x14ac:dyDescent="0.4">
      <c r="A41" s="193" t="s">
        <v>35</v>
      </c>
      <c r="B41" s="194" t="s">
        <v>3</v>
      </c>
      <c r="C41" s="195" t="s">
        <v>4</v>
      </c>
      <c r="D41" s="65"/>
      <c r="E41" s="158">
        <f>+H13</f>
        <v>0.42217148889863931</v>
      </c>
      <c r="F41" s="157">
        <f>+J14</f>
        <v>0.55423327374995812</v>
      </c>
      <c r="G41" s="65"/>
      <c r="H41" s="65"/>
      <c r="I41" s="65"/>
      <c r="J41" s="65"/>
      <c r="K41" s="65"/>
      <c r="L41" s="65"/>
      <c r="M41" s="65"/>
      <c r="N41" s="65"/>
      <c r="O41" s="155">
        <v>8</v>
      </c>
      <c r="P41" s="176">
        <v>97.3</v>
      </c>
      <c r="Q41" s="178"/>
      <c r="R41" s="180">
        <v>142.1</v>
      </c>
      <c r="S41" s="180">
        <v>190.9</v>
      </c>
      <c r="T41" s="184">
        <v>0.55273190721529775</v>
      </c>
      <c r="U41" s="181">
        <v>0.33512434292718574</v>
      </c>
      <c r="V41" s="172">
        <v>200</v>
      </c>
      <c r="W41" s="182">
        <v>0.33158308596281405</v>
      </c>
      <c r="X41" s="173">
        <v>150</v>
      </c>
      <c r="Y41" s="182">
        <v>0.54838130405119223</v>
      </c>
      <c r="Z41" s="183">
        <v>97.380382003022021</v>
      </c>
      <c r="AA41" s="69"/>
    </row>
    <row r="42" spans="1:27" ht="24.9" customHeight="1" x14ac:dyDescent="0.4">
      <c r="A42" s="155"/>
      <c r="B42" s="128">
        <f>+SUM(C8:C17)</f>
        <v>0.5</v>
      </c>
      <c r="C42" s="129">
        <v>0</v>
      </c>
      <c r="D42" s="65"/>
      <c r="E42" s="158">
        <f>+H14</f>
        <v>0.33671916669449492</v>
      </c>
      <c r="F42" s="157">
        <f>+J14</f>
        <v>0.55423327374995812</v>
      </c>
      <c r="G42" s="65"/>
      <c r="H42" s="65"/>
      <c r="I42" s="65"/>
      <c r="J42" s="65"/>
      <c r="K42" s="65"/>
      <c r="L42" s="65"/>
      <c r="M42" s="65"/>
      <c r="N42" s="65"/>
      <c r="O42" s="155">
        <v>9</v>
      </c>
      <c r="P42" s="176">
        <v>100.6</v>
      </c>
      <c r="Q42" s="178"/>
      <c r="R42" s="180">
        <v>140.9</v>
      </c>
      <c r="S42" s="180">
        <v>190.05</v>
      </c>
      <c r="T42" s="184">
        <v>0.43653230757220363</v>
      </c>
      <c r="U42" s="181">
        <v>0.24208991553351009</v>
      </c>
      <c r="V42" s="172">
        <v>200</v>
      </c>
      <c r="W42" s="182">
        <v>0.2352943385155411</v>
      </c>
      <c r="X42" s="173">
        <v>150</v>
      </c>
      <c r="Y42" s="182">
        <v>0.42687086071548624</v>
      </c>
      <c r="Z42" s="183">
        <v>100.77813705143318</v>
      </c>
      <c r="AA42" s="69"/>
    </row>
    <row r="43" spans="1:27" ht="24.9" customHeight="1" thickBot="1" x14ac:dyDescent="0.45">
      <c r="A43" s="185"/>
      <c r="B43" s="143">
        <f>+SUM(C8:C17)</f>
        <v>0.5</v>
      </c>
      <c r="C43" s="144">
        <v>1</v>
      </c>
      <c r="D43" s="65"/>
      <c r="E43" s="158">
        <f>+H14</f>
        <v>0.33671916669449492</v>
      </c>
      <c r="F43" s="157">
        <f>+J15</f>
        <v>0.43915201392674785</v>
      </c>
      <c r="G43" s="65"/>
      <c r="H43" s="65"/>
      <c r="I43" s="65"/>
      <c r="J43" s="65"/>
      <c r="K43" s="65"/>
      <c r="L43" s="65"/>
      <c r="M43" s="65"/>
      <c r="N43" s="65"/>
      <c r="O43" s="155">
        <v>10</v>
      </c>
      <c r="P43" s="176">
        <v>103.8</v>
      </c>
      <c r="Q43" s="178"/>
      <c r="R43" s="180">
        <v>140.05000000000001</v>
      </c>
      <c r="S43" s="180">
        <v>189.69</v>
      </c>
      <c r="T43" s="184">
        <v>0.3109004032082438</v>
      </c>
      <c r="U43" s="181">
        <v>0.15822281663515073</v>
      </c>
      <c r="V43" s="172">
        <v>200</v>
      </c>
      <c r="W43" s="182">
        <v>0.15083310429863966</v>
      </c>
      <c r="X43" s="173">
        <v>150</v>
      </c>
      <c r="Y43" s="182">
        <v>0.29848586411912226</v>
      </c>
      <c r="Z43" s="183">
        <v>104.03548335133343</v>
      </c>
      <c r="AA43" s="69"/>
    </row>
    <row r="44" spans="1:27" ht="24.9" customHeight="1" thickTop="1" thickBot="1" x14ac:dyDescent="0.45">
      <c r="A44" s="126"/>
      <c r="B44" s="126"/>
      <c r="C44" s="126"/>
      <c r="D44" s="65"/>
      <c r="E44" s="158">
        <f>+H15</f>
        <v>0.24421739865555481</v>
      </c>
      <c r="F44" s="157">
        <f>+J15</f>
        <v>0.43915201392674785</v>
      </c>
      <c r="G44" s="65"/>
      <c r="H44" s="65"/>
      <c r="I44" s="65"/>
      <c r="J44" s="65"/>
      <c r="K44" s="65"/>
      <c r="L44" s="65"/>
      <c r="M44" s="65"/>
      <c r="N44" s="65"/>
      <c r="O44" s="155">
        <v>11</v>
      </c>
      <c r="P44" s="176">
        <v>106.5</v>
      </c>
      <c r="Q44" s="178"/>
      <c r="R44" s="180">
        <v>139.69</v>
      </c>
      <c r="S44" s="180">
        <v>189.71</v>
      </c>
      <c r="T44" s="184">
        <v>0.1971918280391976</v>
      </c>
      <c r="U44" s="181">
        <v>9.3550835717734676E-2</v>
      </c>
      <c r="V44" s="172">
        <v>200</v>
      </c>
      <c r="W44" s="182">
        <v>8.7676320285258111E-2</v>
      </c>
      <c r="X44" s="173">
        <v>150</v>
      </c>
      <c r="Y44" s="182">
        <v>0.18587088516325367</v>
      </c>
      <c r="Z44" s="183">
        <v>106.6635505607801</v>
      </c>
      <c r="AA44" s="69"/>
    </row>
    <row r="45" spans="1:27" ht="24.9" customHeight="1" thickTop="1" thickBot="1" x14ac:dyDescent="0.45">
      <c r="A45" s="193" t="s">
        <v>120</v>
      </c>
      <c r="B45" s="196" t="s">
        <v>3</v>
      </c>
      <c r="C45" s="195" t="s">
        <v>4</v>
      </c>
      <c r="D45" s="65"/>
      <c r="E45" s="158">
        <f>+H15</f>
        <v>0.24421739865555481</v>
      </c>
      <c r="F45" s="157">
        <f>+J16</f>
        <v>0.31382857651266399</v>
      </c>
      <c r="G45" s="65"/>
      <c r="H45" s="65"/>
      <c r="I45" s="65"/>
      <c r="J45" s="65"/>
      <c r="K45" s="65"/>
      <c r="L45" s="65"/>
      <c r="M45" s="65"/>
      <c r="N45" s="65"/>
      <c r="O45" s="185">
        <v>12</v>
      </c>
      <c r="P45" s="197">
        <v>108.4</v>
      </c>
      <c r="Q45" s="198">
        <v>4744</v>
      </c>
      <c r="R45" s="199">
        <v>139.71</v>
      </c>
      <c r="S45" s="199">
        <v>50</v>
      </c>
      <c r="T45" s="200">
        <v>0.10937037418793288</v>
      </c>
      <c r="U45" s="201">
        <v>4.9349400000000002E-2</v>
      </c>
      <c r="V45" s="202">
        <v>50</v>
      </c>
      <c r="W45" s="203">
        <v>4.5719730206099374E-2</v>
      </c>
      <c r="X45" s="204">
        <v>150</v>
      </c>
      <c r="Y45" s="203">
        <v>0.1016618398120783</v>
      </c>
      <c r="Z45" s="205">
        <v>108.51024544707965</v>
      </c>
      <c r="AA45" s="69"/>
    </row>
    <row r="46" spans="1:27" ht="24.9" customHeight="1" thickTop="1" x14ac:dyDescent="0.4">
      <c r="A46" s="155"/>
      <c r="B46" s="128">
        <v>0</v>
      </c>
      <c r="C46" s="129">
        <v>0</v>
      </c>
      <c r="D46" s="65"/>
      <c r="E46" s="158">
        <f>+H16</f>
        <v>0.16016066262369935</v>
      </c>
      <c r="F46" s="157">
        <f>+J16</f>
        <v>0.31382857651266399</v>
      </c>
      <c r="G46" s="65"/>
      <c r="H46" s="65"/>
      <c r="I46" s="65"/>
      <c r="J46" s="65"/>
      <c r="K46" s="65"/>
      <c r="L46" s="65"/>
      <c r="M46" s="65"/>
      <c r="N46" s="65"/>
      <c r="O46" s="65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</row>
    <row r="47" spans="1:27" ht="24.9" customHeight="1" thickBot="1" x14ac:dyDescent="0.45">
      <c r="A47" s="185"/>
      <c r="B47" s="143">
        <v>1</v>
      </c>
      <c r="C47" s="144">
        <v>1</v>
      </c>
      <c r="D47" s="65"/>
      <c r="E47" s="158">
        <f>+H16</f>
        <v>0.16016066262369935</v>
      </c>
      <c r="F47" s="157">
        <f>+J17</f>
        <v>0.19959010603679789</v>
      </c>
      <c r="G47" s="65"/>
      <c r="H47" s="65"/>
      <c r="I47" s="65"/>
      <c r="J47" s="65"/>
      <c r="K47" s="65"/>
      <c r="L47" s="65"/>
      <c r="M47" s="65"/>
      <c r="N47" s="65"/>
      <c r="O47" s="65"/>
      <c r="P47" s="69"/>
      <c r="Q47" s="270"/>
      <c r="R47" s="270"/>
      <c r="S47" s="270"/>
      <c r="T47" s="270"/>
      <c r="U47" s="270"/>
      <c r="V47" s="270"/>
      <c r="W47" s="270"/>
      <c r="X47" s="270"/>
      <c r="Y47" s="69"/>
      <c r="Z47" s="69"/>
      <c r="AA47" s="69"/>
    </row>
    <row r="48" spans="1:27" ht="24.9" customHeight="1" thickTop="1" x14ac:dyDescent="0.4">
      <c r="A48" s="65"/>
      <c r="B48" s="65"/>
      <c r="C48" s="65"/>
      <c r="D48" s="65"/>
      <c r="E48" s="158">
        <f>+H17</f>
        <v>9.4910020604649495E-2</v>
      </c>
      <c r="F48" s="157">
        <f>+J17</f>
        <v>0.19959010603679789</v>
      </c>
      <c r="G48" s="65"/>
      <c r="H48" s="65"/>
      <c r="I48" s="65"/>
      <c r="J48" s="65"/>
      <c r="K48" s="65"/>
      <c r="L48" s="65"/>
      <c r="M48" s="65"/>
      <c r="N48" s="65"/>
      <c r="O48" s="65"/>
      <c r="P48" s="69"/>
      <c r="Q48" s="272"/>
      <c r="R48" s="273"/>
      <c r="S48" s="272"/>
      <c r="T48" s="272"/>
      <c r="U48" s="274"/>
      <c r="V48" s="270"/>
      <c r="W48" s="270"/>
      <c r="X48" s="270"/>
      <c r="Y48" s="69"/>
      <c r="Z48" s="69"/>
      <c r="AA48" s="69"/>
    </row>
    <row r="49" spans="1:27" ht="24.9" customHeight="1" x14ac:dyDescent="0.4">
      <c r="A49" s="65"/>
      <c r="B49" s="206"/>
      <c r="C49" s="65"/>
      <c r="D49" s="65"/>
      <c r="E49" s="158">
        <f>+H17</f>
        <v>9.4910020604649495E-2</v>
      </c>
      <c r="F49" s="157">
        <f>+J18</f>
        <v>0.11089895368347409</v>
      </c>
      <c r="G49" s="65"/>
      <c r="H49" s="65"/>
      <c r="I49" s="65"/>
      <c r="J49" s="65"/>
      <c r="K49" s="65"/>
      <c r="L49" s="65"/>
      <c r="M49" s="65"/>
      <c r="N49" s="65"/>
      <c r="O49" s="65"/>
      <c r="P49" s="69"/>
      <c r="Q49" s="272"/>
      <c r="R49" s="273"/>
      <c r="S49" s="272"/>
      <c r="T49" s="273"/>
      <c r="U49" s="274"/>
      <c r="V49" s="270"/>
      <c r="W49" s="270"/>
      <c r="X49" s="270"/>
      <c r="Y49" s="69"/>
      <c r="Z49" s="69"/>
      <c r="AA49" s="69"/>
    </row>
    <row r="50" spans="1:27" ht="24.9" customHeight="1" x14ac:dyDescent="0.4">
      <c r="A50" s="65"/>
      <c r="B50" s="65"/>
      <c r="C50" s="65"/>
      <c r="D50" s="65"/>
      <c r="E50" s="158">
        <f>+H18</f>
        <v>5.0128489551272623E-2</v>
      </c>
      <c r="F50" s="157">
        <f>+J18</f>
        <v>0.11089895368347409</v>
      </c>
      <c r="G50" s="65"/>
      <c r="H50" s="65"/>
      <c r="I50" s="65"/>
      <c r="J50" s="65"/>
      <c r="K50" s="65"/>
      <c r="L50" s="65"/>
      <c r="M50" s="65"/>
      <c r="N50" s="65"/>
      <c r="O50" s="65"/>
      <c r="P50" s="69"/>
      <c r="Q50" s="272"/>
      <c r="R50" s="273"/>
      <c r="S50" s="272"/>
      <c r="T50" s="273"/>
      <c r="U50" s="274"/>
      <c r="V50" s="270"/>
      <c r="W50" s="270"/>
      <c r="X50" s="270"/>
      <c r="Y50" s="69"/>
      <c r="Z50" s="69"/>
      <c r="AA50" s="69"/>
    </row>
    <row r="51" spans="1:27" ht="24.9" customHeight="1" thickBot="1" x14ac:dyDescent="0.45">
      <c r="A51" s="65"/>
      <c r="B51" s="65"/>
      <c r="C51" s="65"/>
      <c r="D51" s="65"/>
      <c r="E51" s="207">
        <f>+H18</f>
        <v>5.0128489551272623E-2</v>
      </c>
      <c r="F51" s="187">
        <f>+H19</f>
        <v>5.01284896336293E-2</v>
      </c>
      <c r="G51" s="65"/>
      <c r="H51" s="65"/>
      <c r="I51" s="65"/>
      <c r="J51" s="65"/>
      <c r="K51" s="65"/>
      <c r="L51" s="65"/>
      <c r="M51" s="65"/>
      <c r="N51" s="65"/>
      <c r="O51" s="65"/>
      <c r="P51" s="69"/>
      <c r="Q51" s="272"/>
      <c r="R51" s="273"/>
      <c r="S51" s="272"/>
      <c r="T51" s="273"/>
      <c r="U51" s="274"/>
      <c r="V51" s="270"/>
      <c r="W51" s="270"/>
      <c r="X51" s="270"/>
      <c r="Y51" s="69"/>
      <c r="Z51" s="69"/>
      <c r="AA51" s="69"/>
    </row>
    <row r="52" spans="1:27" ht="24.9" customHeight="1" thickTop="1" x14ac:dyDescent="0.4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9"/>
      <c r="Q52" s="272"/>
      <c r="R52" s="273"/>
      <c r="S52" s="272"/>
      <c r="T52" s="273"/>
      <c r="U52" s="274"/>
      <c r="V52" s="270"/>
      <c r="W52" s="270"/>
      <c r="X52" s="270"/>
      <c r="Y52" s="69"/>
      <c r="Z52" s="69"/>
      <c r="AA52" s="69"/>
    </row>
    <row r="53" spans="1:27" ht="24.9" customHeight="1" x14ac:dyDescent="0.3">
      <c r="A53" s="69"/>
      <c r="B53" s="69"/>
      <c r="C53" s="69"/>
      <c r="D53" s="69"/>
      <c r="E53" s="69"/>
      <c r="F53" s="69"/>
      <c r="G53" s="208"/>
      <c r="H53" s="208"/>
      <c r="I53" s="69"/>
      <c r="J53" s="69"/>
      <c r="K53" s="69"/>
      <c r="L53" s="69"/>
      <c r="M53" s="69"/>
      <c r="N53" s="69"/>
      <c r="O53" s="69"/>
      <c r="P53" s="69"/>
      <c r="Q53" s="272"/>
      <c r="R53" s="273"/>
      <c r="S53" s="272"/>
      <c r="T53" s="273"/>
      <c r="U53" s="274"/>
      <c r="V53" s="270"/>
      <c r="W53" s="270"/>
      <c r="X53" s="270"/>
      <c r="Y53" s="69"/>
      <c r="Z53" s="69"/>
      <c r="AA53" s="69"/>
    </row>
    <row r="54" spans="1:27" ht="24.9" customHeight="1" x14ac:dyDescent="0.3">
      <c r="Q54" s="275"/>
      <c r="R54" s="2"/>
      <c r="S54" s="275"/>
      <c r="T54" s="2"/>
      <c r="U54" s="24"/>
      <c r="V54" s="1"/>
      <c r="W54" s="1"/>
      <c r="X54" s="1"/>
    </row>
    <row r="55" spans="1:27" ht="24.9" customHeight="1" x14ac:dyDescent="0.3">
      <c r="Q55" s="275"/>
      <c r="R55" s="2"/>
      <c r="S55" s="275"/>
      <c r="T55" s="2"/>
      <c r="U55" s="24"/>
      <c r="V55" s="1"/>
      <c r="W55" s="1"/>
      <c r="X55" s="1"/>
    </row>
    <row r="56" spans="1:27" ht="24.9" customHeight="1" x14ac:dyDescent="0.3">
      <c r="Q56" s="275"/>
      <c r="R56" s="2"/>
      <c r="S56" s="275"/>
      <c r="T56" s="2"/>
      <c r="U56" s="24"/>
      <c r="V56" s="1"/>
      <c r="W56" s="1"/>
      <c r="X56" s="1"/>
    </row>
    <row r="57" spans="1:27" ht="24.9" customHeight="1" x14ac:dyDescent="0.3">
      <c r="Q57" s="275"/>
      <c r="R57" s="2"/>
      <c r="S57" s="275"/>
      <c r="T57" s="2"/>
      <c r="U57" s="24"/>
      <c r="V57" s="1"/>
      <c r="W57" s="1"/>
      <c r="X57" s="1"/>
    </row>
    <row r="58" spans="1:27" ht="24.9" customHeight="1" x14ac:dyDescent="0.3">
      <c r="Q58" s="275"/>
      <c r="R58" s="2"/>
      <c r="S58" s="275"/>
      <c r="T58" s="2"/>
      <c r="U58" s="24"/>
      <c r="V58" s="1"/>
      <c r="W58" s="1"/>
      <c r="X58" s="1"/>
    </row>
    <row r="59" spans="1:27" ht="24.9" customHeight="1" x14ac:dyDescent="0.3">
      <c r="Q59" s="275"/>
      <c r="R59" s="2"/>
      <c r="S59" s="275"/>
      <c r="T59" s="2"/>
      <c r="U59" s="24"/>
      <c r="V59" s="1"/>
      <c r="W59" s="1"/>
      <c r="X59" s="1"/>
    </row>
    <row r="60" spans="1:27" ht="24.9" customHeight="1" x14ac:dyDescent="0.3">
      <c r="Q60" s="1"/>
      <c r="R60" s="271"/>
      <c r="S60" s="1"/>
      <c r="T60" s="1"/>
      <c r="U60" s="1"/>
      <c r="V60" s="1"/>
      <c r="W60" s="1"/>
      <c r="X60" s="1"/>
    </row>
    <row r="61" spans="1:27" ht="24.9" customHeight="1" x14ac:dyDescent="0.3">
      <c r="Q61" s="1"/>
      <c r="R61" s="1"/>
      <c r="S61" s="1"/>
      <c r="T61" s="1"/>
      <c r="U61" s="1"/>
      <c r="V61" s="1"/>
      <c r="W61" s="1"/>
      <c r="X61" s="1"/>
    </row>
    <row r="62" spans="1:27" ht="24.9" customHeight="1" x14ac:dyDescent="0.2"/>
    <row r="63" spans="1:27" ht="24.9" customHeight="1" x14ac:dyDescent="0.2"/>
    <row r="64" spans="1:27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</sheetData>
  <mergeCells count="4">
    <mergeCell ref="E27:F27"/>
    <mergeCell ref="E22:H22"/>
    <mergeCell ref="I22:J22"/>
    <mergeCell ref="H3:I3"/>
  </mergeCells>
  <phoneticPr fontId="1" type="noConversion"/>
  <pageMargins left="0.75" right="0.75" top="1" bottom="1" header="0.5" footer="0.5"/>
  <pageSetup scale="25" orientation="landscape" horizontalDpi="4294967292" verticalDpi="4294967292" r:id="rId1"/>
  <headerFooter alignWithMargins="0"/>
  <ignoredErrors>
    <ignoredError sqref="J9 J10:J17 J18 D8:D17 H19" emptyCellReference="1"/>
    <ignoredError sqref="K29 K30:K40 M29:M40 H29:H40" numberStoredAsText="1"/>
    <ignoredError sqref="S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28"/>
  <sheetViews>
    <sheetView showGridLines="0" zoomScale="59" zoomScaleNormal="59" workbookViewId="0">
      <selection activeCell="F33" sqref="F33"/>
    </sheetView>
  </sheetViews>
  <sheetFormatPr defaultRowHeight="21" x14ac:dyDescent="0.4"/>
  <cols>
    <col min="1" max="10" width="20.6328125" customWidth="1"/>
    <col min="11" max="11" width="20.6328125" style="30" customWidth="1"/>
    <col min="12" max="13" width="20.6328125" customWidth="1"/>
    <col min="14" max="15" width="12.6328125" customWidth="1"/>
  </cols>
  <sheetData>
    <row r="1" spans="1:26" ht="25.2" customHeight="1" thickTop="1" thickBot="1" x14ac:dyDescent="0.45">
      <c r="A1" s="65" t="s">
        <v>145</v>
      </c>
      <c r="B1" s="66" t="s">
        <v>37</v>
      </c>
      <c r="C1" s="67"/>
      <c r="D1" s="68"/>
      <c r="E1" s="226" t="s">
        <v>146</v>
      </c>
      <c r="F1" s="227"/>
      <c r="G1" s="228"/>
      <c r="H1" s="65"/>
      <c r="I1" s="65"/>
      <c r="J1" s="65"/>
      <c r="K1" s="65"/>
      <c r="L1" s="65"/>
      <c r="M1" s="65"/>
      <c r="N1" s="69"/>
    </row>
    <row r="2" spans="1:26" ht="25.2" customHeight="1" thickTop="1" thickBot="1" x14ac:dyDescent="0.45">
      <c r="A2" s="65"/>
      <c r="B2" s="72" t="s">
        <v>38</v>
      </c>
      <c r="C2" s="73"/>
      <c r="D2" s="74"/>
      <c r="E2" s="229" t="s">
        <v>161</v>
      </c>
      <c r="F2" s="229"/>
      <c r="G2" s="230"/>
      <c r="H2" s="65"/>
      <c r="I2" s="65"/>
      <c r="J2" s="65"/>
      <c r="K2" s="65"/>
      <c r="L2" s="65"/>
      <c r="M2" s="65"/>
      <c r="N2" s="69"/>
    </row>
    <row r="3" spans="1:26" ht="25.2" customHeight="1" thickTop="1" thickBot="1" x14ac:dyDescent="0.45">
      <c r="A3" s="65"/>
      <c r="E3" s="65"/>
      <c r="F3" s="65"/>
      <c r="G3" s="65"/>
      <c r="H3" s="65"/>
      <c r="I3" s="65"/>
      <c r="J3" s="65"/>
      <c r="K3" s="65"/>
      <c r="L3" s="65"/>
      <c r="M3" s="65"/>
      <c r="N3" s="69"/>
    </row>
    <row r="4" spans="1:26" ht="25.2" customHeight="1" thickTop="1" thickBot="1" x14ac:dyDescent="0.45">
      <c r="A4" s="322" t="s">
        <v>122</v>
      </c>
      <c r="B4" s="32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25.2" customHeight="1" thickTop="1" thickBot="1" x14ac:dyDescent="0.6">
      <c r="A5" s="332" t="s">
        <v>162</v>
      </c>
      <c r="B5" s="333"/>
      <c r="C5" s="69"/>
      <c r="D5" s="329" t="s">
        <v>147</v>
      </c>
      <c r="E5" s="330"/>
      <c r="F5" s="330"/>
      <c r="G5" s="330"/>
      <c r="H5" s="330"/>
      <c r="I5" s="331"/>
      <c r="J5" s="65"/>
      <c r="K5" s="65"/>
      <c r="L5" s="65"/>
      <c r="M5" s="65"/>
      <c r="N5" s="65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5.2" customHeight="1" thickTop="1" x14ac:dyDescent="0.55000000000000004">
      <c r="A6" s="217" t="s">
        <v>90</v>
      </c>
      <c r="B6" s="218">
        <f>+'10-Tray'!B19</f>
        <v>100</v>
      </c>
      <c r="C6" s="69"/>
      <c r="D6" s="222" t="s">
        <v>103</v>
      </c>
      <c r="E6" s="231">
        <f>10^(B26-C26/(D26+$G$6))/$B$8</f>
        <v>1.7180193679503408</v>
      </c>
      <c r="F6" s="338" t="s">
        <v>148</v>
      </c>
      <c r="G6" s="340">
        <v>98.769602327792754</v>
      </c>
      <c r="H6" s="233"/>
      <c r="I6" s="234"/>
      <c r="J6" s="65"/>
      <c r="K6" s="65"/>
      <c r="L6" s="65"/>
      <c r="M6" s="65"/>
      <c r="N6" s="65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5.2" customHeight="1" thickBot="1" x14ac:dyDescent="0.6">
      <c r="A7" s="217" t="s">
        <v>91</v>
      </c>
      <c r="B7" s="218">
        <f>+'10-Tray'!C19</f>
        <v>0.5</v>
      </c>
      <c r="C7" s="69"/>
      <c r="D7" s="223" t="s">
        <v>104</v>
      </c>
      <c r="E7" s="221">
        <f>10^(B27-C27/(D27+$G$6))/$B$8</f>
        <v>0.70510402247615522</v>
      </c>
      <c r="F7" s="339"/>
      <c r="G7" s="341">
        <v>0</v>
      </c>
      <c r="H7" s="235" t="s">
        <v>125</v>
      </c>
      <c r="I7" s="236">
        <f>+B7/E6+(1-B7)/E7-1</f>
        <v>1.4803598302326471E-4</v>
      </c>
      <c r="J7" s="65"/>
      <c r="K7" s="65"/>
      <c r="L7" s="65"/>
      <c r="M7" s="65"/>
      <c r="N7" s="65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25.2" customHeight="1" thickTop="1" x14ac:dyDescent="0.55000000000000004">
      <c r="A8" s="217" t="s">
        <v>92</v>
      </c>
      <c r="B8" s="218">
        <f>+'10-Tray'!B4</f>
        <v>760</v>
      </c>
      <c r="C8" s="69"/>
      <c r="D8" s="224" t="s">
        <v>103</v>
      </c>
      <c r="E8" s="220">
        <f>10^(B26-C26/(D26+$G$8))/$B$8</f>
        <v>1.4284257334402906</v>
      </c>
      <c r="F8" s="342" t="s">
        <v>150</v>
      </c>
      <c r="G8" s="344">
        <v>92.146169241939148</v>
      </c>
      <c r="H8" s="238"/>
      <c r="I8" s="239"/>
      <c r="J8" s="65"/>
      <c r="K8" s="65"/>
      <c r="L8" s="65"/>
      <c r="M8" s="65"/>
      <c r="N8" s="65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25.2" customHeight="1" thickBot="1" x14ac:dyDescent="0.6">
      <c r="A9" s="219" t="s">
        <v>149</v>
      </c>
      <c r="B9" s="283">
        <f>+'10-Tray'!I4</f>
        <v>92</v>
      </c>
      <c r="C9" s="65"/>
      <c r="D9" s="225" t="s">
        <v>104</v>
      </c>
      <c r="E9" s="232">
        <f>10^(B27-C27/(D27+$G$8))/$B$8</f>
        <v>0.57336345356653462</v>
      </c>
      <c r="F9" s="343"/>
      <c r="G9" s="345">
        <v>-3.7778706683311344E+16</v>
      </c>
      <c r="H9" s="225" t="s">
        <v>126</v>
      </c>
      <c r="I9" s="237">
        <f>+B7*E8+(1-B7)*E9-1</f>
        <v>8.9459350341258848E-4</v>
      </c>
      <c r="J9" s="65"/>
      <c r="K9" s="65"/>
      <c r="L9" s="65"/>
      <c r="M9" s="65"/>
      <c r="N9" s="65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25.2" customHeight="1" thickTop="1" thickBot="1" x14ac:dyDescent="0.4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328" t="s">
        <v>140</v>
      </c>
      <c r="L10" s="328"/>
      <c r="M10" s="328"/>
      <c r="N10" s="65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5.2" customHeight="1" thickTop="1" thickBot="1" x14ac:dyDescent="0.6">
      <c r="A11" s="322" t="s">
        <v>127</v>
      </c>
      <c r="B11" s="337"/>
      <c r="C11" s="337"/>
      <c r="D11" s="323"/>
      <c r="E11" s="69"/>
      <c r="F11" s="322" t="s">
        <v>130</v>
      </c>
      <c r="G11" s="323"/>
      <c r="H11" s="69"/>
      <c r="I11" s="193" t="s">
        <v>87</v>
      </c>
      <c r="J11" s="195">
        <f>IF(B9&gt;G6,1,0)</f>
        <v>0</v>
      </c>
      <c r="K11" s="326" t="s">
        <v>151</v>
      </c>
      <c r="L11" s="328"/>
      <c r="M11" s="328"/>
      <c r="N11" s="65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25.2" customHeight="1" thickTop="1" thickBot="1" x14ac:dyDescent="0.6">
      <c r="A12" s="222" t="s">
        <v>152</v>
      </c>
      <c r="B12" s="244">
        <f>10^(B26-C26/(D26+$B$9))/$B$8</f>
        <v>1.4224926247689693</v>
      </c>
      <c r="C12" s="240" t="s">
        <v>153</v>
      </c>
      <c r="D12" s="241">
        <f>10^(B27-C27/(D27+$B$9))/$B$8</f>
        <v>0.57069582036632016</v>
      </c>
      <c r="E12" s="69"/>
      <c r="F12" s="332" t="s">
        <v>178</v>
      </c>
      <c r="G12" s="333"/>
      <c r="H12" s="69"/>
      <c r="I12" s="155" t="s">
        <v>88</v>
      </c>
      <c r="J12" s="129">
        <f>+IF(B9&lt;G8,1,0)</f>
        <v>1</v>
      </c>
      <c r="K12" s="326" t="s">
        <v>155</v>
      </c>
      <c r="L12" s="328"/>
      <c r="M12" s="328"/>
      <c r="N12" s="65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25.2" customHeight="1" thickTop="1" thickBot="1" x14ac:dyDescent="0.6">
      <c r="A13" s="63" t="s">
        <v>93</v>
      </c>
      <c r="B13" s="246">
        <v>0.50399834492774798</v>
      </c>
      <c r="C13" s="222" t="s">
        <v>126</v>
      </c>
      <c r="D13" s="248">
        <f>+B13*B12+(1-B13)*D12-1</f>
        <v>0</v>
      </c>
      <c r="E13" s="69"/>
      <c r="F13" s="235" t="s">
        <v>154</v>
      </c>
      <c r="G13" s="251">
        <f>+I26*($B$9-$K$26)+J26*($B$9^2-$K$26^2)/2</f>
        <v>1.7449648300000007</v>
      </c>
      <c r="H13" s="69"/>
      <c r="I13" s="185" t="s">
        <v>89</v>
      </c>
      <c r="J13" s="144">
        <f>IF(AND(B9&gt;=G8, B9&lt;=G6),1,0)</f>
        <v>0</v>
      </c>
      <c r="K13" s="326" t="s">
        <v>157</v>
      </c>
      <c r="L13" s="328"/>
      <c r="M13" s="328"/>
      <c r="N13" s="65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25.2" customHeight="1" thickTop="1" thickBot="1" x14ac:dyDescent="0.6">
      <c r="A14" s="245" t="s">
        <v>94</v>
      </c>
      <c r="B14" s="242">
        <v>0.49999999845603632</v>
      </c>
      <c r="C14" s="235" t="s">
        <v>125</v>
      </c>
      <c r="D14" s="249">
        <f>+B14/B12+(1-B14)/D12-1</f>
        <v>0.22761913857636951</v>
      </c>
      <c r="E14" s="125"/>
      <c r="F14" s="235" t="s">
        <v>156</v>
      </c>
      <c r="G14" s="251">
        <f>+I27*($B$9-$K$27)+J27*($B$9^2-$K$27^2)/2</f>
        <v>-3.3818470728000003</v>
      </c>
      <c r="H14" s="69"/>
      <c r="I14" s="69"/>
      <c r="J14" s="65"/>
      <c r="K14" s="65"/>
      <c r="L14" s="69"/>
      <c r="M14" s="65"/>
      <c r="N14" s="65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25.2" customHeight="1" thickTop="1" x14ac:dyDescent="0.55000000000000004">
      <c r="A15" s="245" t="s">
        <v>95</v>
      </c>
      <c r="B15" s="243">
        <v>0</v>
      </c>
      <c r="C15" s="235" t="s">
        <v>128</v>
      </c>
      <c r="D15" s="249">
        <f>+B6-B15-B16</f>
        <v>0</v>
      </c>
      <c r="E15" s="125"/>
      <c r="F15" s="235" t="s">
        <v>158</v>
      </c>
      <c r="G15" s="251">
        <f>+L26+E26*($B$9-K26)+F26*($B$9^2-K26^2)/2+G26*($B$9^3-K26^3)/3+H26*($B$9^4-K26^4)/4</f>
        <v>31.962071011394752</v>
      </c>
      <c r="H15" s="69"/>
      <c r="I15" s="315" t="s">
        <v>143</v>
      </c>
      <c r="J15" s="316"/>
      <c r="K15" s="326" t="s">
        <v>140</v>
      </c>
      <c r="L15" s="327"/>
      <c r="M15" s="327"/>
      <c r="N15" s="69"/>
    </row>
    <row r="16" spans="1:26" ht="25.2" customHeight="1" thickBot="1" x14ac:dyDescent="0.6">
      <c r="A16" s="70" t="s">
        <v>96</v>
      </c>
      <c r="B16" s="247">
        <v>99.999999999999986</v>
      </c>
      <c r="C16" s="225" t="s">
        <v>129</v>
      </c>
      <c r="D16" s="250">
        <f>+B6*B7-B15*B13-B16*B14</f>
        <v>1.5439637479630619E-7</v>
      </c>
      <c r="E16" s="125"/>
      <c r="F16" s="235" t="s">
        <v>159</v>
      </c>
      <c r="G16" s="251">
        <f>+L27+E27*($B$9-K27)+F27*($B$9^2-K27^2)/2+G27*($B$9^3-K27^3)/3+H27*($B$9^4-K27^4)/4</f>
        <v>31.051364162909373</v>
      </c>
      <c r="H16" s="69"/>
      <c r="I16" s="324" t="s">
        <v>144</v>
      </c>
      <c r="J16" s="325"/>
      <c r="K16" s="126" t="s">
        <v>134</v>
      </c>
      <c r="L16" s="126" t="s">
        <v>135</v>
      </c>
      <c r="M16" s="126" t="s">
        <v>133</v>
      </c>
      <c r="N16" s="69"/>
    </row>
    <row r="17" spans="1:15" ht="25.2" customHeight="1" thickTop="1" thickBot="1" x14ac:dyDescent="0.6">
      <c r="A17" s="69"/>
      <c r="B17" s="69"/>
      <c r="C17" s="69"/>
      <c r="D17" s="69"/>
      <c r="E17" s="125"/>
      <c r="F17" s="268" t="s">
        <v>160</v>
      </c>
      <c r="G17" s="269">
        <f>+J17*(J18*G15+(1-J18)*G16)+J19*(J20*G13+(1-J20)*G14)</f>
        <v>-81.844112139999979</v>
      </c>
      <c r="H17" s="69"/>
      <c r="I17" s="209" t="s">
        <v>96</v>
      </c>
      <c r="J17" s="214">
        <f>IF(J11=1,B6,IF(J12=1,0,B16))</f>
        <v>0</v>
      </c>
      <c r="K17" s="126">
        <v>0</v>
      </c>
      <c r="L17" s="126" t="s">
        <v>136</v>
      </c>
      <c r="M17" s="126" t="s">
        <v>137</v>
      </c>
      <c r="N17" s="69"/>
    </row>
    <row r="18" spans="1:15" ht="25.2" customHeight="1" thickTop="1" x14ac:dyDescent="0.55000000000000004">
      <c r="A18" s="119" t="s">
        <v>181</v>
      </c>
      <c r="B18" s="120"/>
      <c r="C18" s="120"/>
      <c r="D18" s="121"/>
      <c r="E18" s="65"/>
      <c r="F18" s="69"/>
      <c r="G18" s="69"/>
      <c r="H18" s="69"/>
      <c r="I18" s="209" t="s">
        <v>97</v>
      </c>
      <c r="J18" s="215">
        <f>IF(J11=1,B7,IF(J12=1,0,B14))</f>
        <v>0</v>
      </c>
      <c r="K18" s="126">
        <v>0</v>
      </c>
      <c r="L18" s="126" t="s">
        <v>138</v>
      </c>
      <c r="M18" s="126" t="s">
        <v>139</v>
      </c>
      <c r="N18" s="69"/>
    </row>
    <row r="19" spans="1:15" ht="25.2" customHeight="1" x14ac:dyDescent="0.4">
      <c r="A19" s="127" t="s">
        <v>131</v>
      </c>
      <c r="B19" s="166"/>
      <c r="C19" s="166"/>
      <c r="D19" s="259"/>
      <c r="E19" s="65"/>
      <c r="F19" s="69"/>
      <c r="G19" s="69"/>
      <c r="H19" s="69"/>
      <c r="I19" s="209" t="s">
        <v>95</v>
      </c>
      <c r="J19" s="214">
        <f>IF(J11=1,0,IF(J12=1,B6,B15))</f>
        <v>100</v>
      </c>
      <c r="K19" s="126" t="s">
        <v>137</v>
      </c>
      <c r="L19" s="126" t="s">
        <v>141</v>
      </c>
      <c r="M19" s="126">
        <v>0</v>
      </c>
      <c r="N19" s="69"/>
    </row>
    <row r="20" spans="1:15" ht="25.2" customHeight="1" thickBot="1" x14ac:dyDescent="0.45">
      <c r="A20" s="127" t="s">
        <v>132</v>
      </c>
      <c r="B20" s="166"/>
      <c r="C20" s="166"/>
      <c r="D20" s="259"/>
      <c r="E20" s="65"/>
      <c r="F20" s="69"/>
      <c r="G20" s="69"/>
      <c r="H20" s="69"/>
      <c r="I20" s="210" t="s">
        <v>98</v>
      </c>
      <c r="J20" s="216">
        <f>IF(J11=1,0,IF(J12=1,B7,B13))</f>
        <v>0.5</v>
      </c>
      <c r="K20" s="126" t="s">
        <v>139</v>
      </c>
      <c r="L20" s="126" t="s">
        <v>142</v>
      </c>
      <c r="M20" s="126">
        <v>0</v>
      </c>
      <c r="N20" s="69"/>
    </row>
    <row r="21" spans="1:15" ht="25.2" customHeight="1" thickTop="1" x14ac:dyDescent="0.4">
      <c r="A21" s="127" t="s">
        <v>175</v>
      </c>
      <c r="B21" s="166"/>
      <c r="C21" s="166"/>
      <c r="D21" s="259"/>
      <c r="E21" s="65"/>
      <c r="F21" s="69"/>
      <c r="G21" s="69"/>
      <c r="H21" s="69"/>
      <c r="I21" s="116"/>
      <c r="J21" s="314"/>
      <c r="K21" s="252"/>
      <c r="L21" s="252"/>
      <c r="M21" s="252"/>
      <c r="N21" s="69"/>
    </row>
    <row r="22" spans="1:15" ht="25.2" customHeight="1" thickBot="1" x14ac:dyDescent="0.45">
      <c r="A22" s="142" t="s">
        <v>176</v>
      </c>
      <c r="B22" s="167"/>
      <c r="C22" s="167"/>
      <c r="D22" s="168"/>
      <c r="E22" s="65"/>
      <c r="F22" s="69"/>
      <c r="G22" s="69"/>
      <c r="H22" s="69"/>
      <c r="I22" s="116"/>
      <c r="J22" s="314"/>
      <c r="K22" s="252"/>
      <c r="L22" s="252"/>
      <c r="M22" s="252"/>
      <c r="N22" s="69"/>
    </row>
    <row r="23" spans="1:15" ht="22.2" thickTop="1" thickBot="1" x14ac:dyDescent="0.45">
      <c r="B23" s="30"/>
      <c r="C23" s="30"/>
      <c r="D23" s="30"/>
      <c r="E23" s="30"/>
    </row>
    <row r="24" spans="1:15" ht="25.8" thickTop="1" x14ac:dyDescent="0.55000000000000004">
      <c r="A24" s="33" t="s">
        <v>5</v>
      </c>
      <c r="B24" s="34"/>
      <c r="C24" s="34"/>
      <c r="D24" s="35"/>
      <c r="E24" s="334" t="s">
        <v>66</v>
      </c>
      <c r="F24" s="335"/>
      <c r="G24" s="335"/>
      <c r="H24" s="336"/>
      <c r="I24" s="334" t="s">
        <v>67</v>
      </c>
      <c r="J24" s="336"/>
      <c r="K24" s="62" t="s">
        <v>68</v>
      </c>
      <c r="L24" s="60" t="s">
        <v>69</v>
      </c>
      <c r="M24" s="60" t="s">
        <v>70</v>
      </c>
      <c r="N24" s="60" t="s">
        <v>71</v>
      </c>
      <c r="O24" s="61" t="s">
        <v>72</v>
      </c>
    </row>
    <row r="25" spans="1:15" x14ac:dyDescent="0.4">
      <c r="A25" s="36"/>
      <c r="B25" s="37" t="s">
        <v>8</v>
      </c>
      <c r="C25" s="37" t="s">
        <v>9</v>
      </c>
      <c r="D25" s="38" t="s">
        <v>10</v>
      </c>
      <c r="E25" s="42" t="s">
        <v>73</v>
      </c>
      <c r="F25" s="42" t="s">
        <v>74</v>
      </c>
      <c r="G25" s="42" t="s">
        <v>75</v>
      </c>
      <c r="H25" s="42" t="s">
        <v>76</v>
      </c>
      <c r="I25" s="43" t="s">
        <v>73</v>
      </c>
      <c r="J25" s="44" t="s">
        <v>74</v>
      </c>
      <c r="K25" s="42"/>
      <c r="L25" s="42"/>
      <c r="M25" s="42"/>
      <c r="N25" s="45"/>
      <c r="O25" s="46"/>
    </row>
    <row r="26" spans="1:15" x14ac:dyDescent="0.4">
      <c r="A26" s="36" t="s">
        <v>6</v>
      </c>
      <c r="B26" s="37">
        <v>6.8927199999999997</v>
      </c>
      <c r="C26" s="37">
        <v>1203.5309999999999</v>
      </c>
      <c r="D26" s="38">
        <v>219.88800000000001</v>
      </c>
      <c r="E26" s="47">
        <v>7.4060000000000001E-2</v>
      </c>
      <c r="F26" s="47">
        <v>3.2949999999999999E-4</v>
      </c>
      <c r="G26" s="47">
        <v>-2.5199999999999998E-7</v>
      </c>
      <c r="H26" s="47">
        <v>7.7569999999999997E-11</v>
      </c>
      <c r="I26" s="48">
        <v>0.1265</v>
      </c>
      <c r="J26" s="49">
        <v>2.34E-4</v>
      </c>
      <c r="K26" s="50">
        <v>80.099999999999994</v>
      </c>
      <c r="L26" s="51">
        <v>30.765000000000001</v>
      </c>
      <c r="M26" s="50">
        <v>78.11</v>
      </c>
      <c r="N26" s="42">
        <v>879</v>
      </c>
      <c r="O26" s="52">
        <f>+M26/N26</f>
        <v>8.8862343572241181E-2</v>
      </c>
    </row>
    <row r="27" spans="1:15" ht="21.6" thickBot="1" x14ac:dyDescent="0.45">
      <c r="A27" s="39" t="s">
        <v>7</v>
      </c>
      <c r="B27" s="40">
        <v>6.9580500000000001</v>
      </c>
      <c r="C27" s="40">
        <v>1346.7729999999999</v>
      </c>
      <c r="D27" s="41">
        <v>219.69300000000001</v>
      </c>
      <c r="E27" s="53">
        <v>9.418E-2</v>
      </c>
      <c r="F27" s="53">
        <v>3.8000000000000002E-4</v>
      </c>
      <c r="G27" s="53">
        <v>-2.7860000000000002E-7</v>
      </c>
      <c r="H27" s="53">
        <v>8.0329999999999996E-11</v>
      </c>
      <c r="I27" s="54">
        <v>0.14879999999999999</v>
      </c>
      <c r="J27" s="55">
        <v>3.2400000000000001E-4</v>
      </c>
      <c r="K27" s="56">
        <v>110.62</v>
      </c>
      <c r="L27" s="57">
        <v>33.47</v>
      </c>
      <c r="M27" s="56">
        <v>92.13</v>
      </c>
      <c r="N27" s="58">
        <v>866</v>
      </c>
      <c r="O27" s="59">
        <f>+M27/N27</f>
        <v>0.10638568129330253</v>
      </c>
    </row>
    <row r="28" spans="1:15" ht="21.6" thickTop="1" x14ac:dyDescent="0.4"/>
  </sheetData>
  <mergeCells count="19">
    <mergeCell ref="E24:H24"/>
    <mergeCell ref="I24:J24"/>
    <mergeCell ref="A11:D11"/>
    <mergeCell ref="F6:F7"/>
    <mergeCell ref="G6:G7"/>
    <mergeCell ref="F8:F9"/>
    <mergeCell ref="G8:G9"/>
    <mergeCell ref="A4:B4"/>
    <mergeCell ref="I15:J15"/>
    <mergeCell ref="I16:J16"/>
    <mergeCell ref="K15:M15"/>
    <mergeCell ref="K10:M10"/>
    <mergeCell ref="K11:M11"/>
    <mergeCell ref="K12:M12"/>
    <mergeCell ref="K13:M13"/>
    <mergeCell ref="D5:I5"/>
    <mergeCell ref="F11:G11"/>
    <mergeCell ref="A5:B5"/>
    <mergeCell ref="F12:G12"/>
  </mergeCells>
  <pageMargins left="0.7" right="0.7" top="0.75" bottom="0.75" header="0.3" footer="0.3"/>
  <pageSetup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68"/>
  <sheetViews>
    <sheetView zoomScale="70" zoomScaleNormal="70" workbookViewId="0">
      <selection activeCell="C30" sqref="C30"/>
    </sheetView>
  </sheetViews>
  <sheetFormatPr defaultColWidth="11" defaultRowHeight="12.6" x14ac:dyDescent="0.2"/>
  <cols>
    <col min="1" max="6" width="16.6328125" customWidth="1"/>
    <col min="7" max="7" width="14.6328125" customWidth="1"/>
    <col min="8" max="8" width="17.26953125" customWidth="1"/>
    <col min="9" max="9" width="14.6328125" customWidth="1"/>
    <col min="10" max="10" width="18" customWidth="1"/>
    <col min="11" max="14" width="14.6328125" customWidth="1"/>
    <col min="15" max="27" width="16.6328125" customWidth="1"/>
  </cols>
  <sheetData>
    <row r="1" spans="1:27" ht="24.9" customHeight="1" x14ac:dyDescent="0.5">
      <c r="A1" s="29" t="s">
        <v>80</v>
      </c>
      <c r="B1" s="14"/>
      <c r="C1" s="14"/>
      <c r="D1" s="16"/>
      <c r="E1" s="15"/>
      <c r="F1" s="14"/>
      <c r="J1" s="14"/>
      <c r="K1" s="14"/>
      <c r="L1" s="14"/>
      <c r="M1" s="14"/>
      <c r="N1" s="14"/>
    </row>
    <row r="2" spans="1:27" ht="24.9" customHeight="1" thickBot="1" x14ac:dyDescent="0.45">
      <c r="A2" s="30"/>
      <c r="B2" s="30"/>
      <c r="C2" s="30"/>
      <c r="D2" s="31"/>
      <c r="E2" s="32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7" ht="24.9" customHeight="1" thickTop="1" thickBot="1" x14ac:dyDescent="0.45">
      <c r="A3" s="63" t="s">
        <v>15</v>
      </c>
      <c r="B3" s="64">
        <v>2</v>
      </c>
      <c r="C3" s="65"/>
      <c r="D3" s="66" t="s">
        <v>37</v>
      </c>
      <c r="E3" s="67"/>
      <c r="F3" s="68"/>
      <c r="G3" s="65"/>
      <c r="H3" s="320" t="s">
        <v>79</v>
      </c>
      <c r="I3" s="321"/>
      <c r="J3" s="65"/>
      <c r="K3" s="65"/>
      <c r="L3" s="65"/>
      <c r="M3" s="65"/>
      <c r="N3" s="65"/>
      <c r="O3" s="65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24.9" customHeight="1" thickTop="1" thickBot="1" x14ac:dyDescent="0.45">
      <c r="A4" s="70" t="s">
        <v>16</v>
      </c>
      <c r="B4" s="71">
        <v>760</v>
      </c>
      <c r="C4" s="65"/>
      <c r="D4" s="72" t="s">
        <v>38</v>
      </c>
      <c r="E4" s="73"/>
      <c r="F4" s="74"/>
      <c r="G4" s="65"/>
      <c r="H4" s="75" t="s">
        <v>100</v>
      </c>
      <c r="I4" s="76">
        <v>92</v>
      </c>
      <c r="J4" s="65"/>
      <c r="K4" s="65"/>
      <c r="L4" s="65"/>
      <c r="M4" s="65"/>
      <c r="N4" s="65"/>
      <c r="O4" s="65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24.9" customHeight="1" thickTop="1" thickBot="1" x14ac:dyDescent="0.4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ht="24.9" customHeight="1" thickTop="1" thickBot="1" x14ac:dyDescent="0.6">
      <c r="A6" s="77" t="s">
        <v>1</v>
      </c>
      <c r="B6" s="78" t="s">
        <v>39</v>
      </c>
      <c r="C6" s="78" t="s">
        <v>40</v>
      </c>
      <c r="D6" s="78" t="s">
        <v>41</v>
      </c>
      <c r="E6" s="78" t="s">
        <v>42</v>
      </c>
      <c r="F6" s="78" t="s">
        <v>101</v>
      </c>
      <c r="G6" s="78" t="s">
        <v>43</v>
      </c>
      <c r="H6" s="78" t="s">
        <v>44</v>
      </c>
      <c r="I6" s="78" t="s">
        <v>45</v>
      </c>
      <c r="J6" s="78" t="s">
        <v>46</v>
      </c>
      <c r="K6" s="78" t="s">
        <v>102</v>
      </c>
      <c r="L6" s="78" t="s">
        <v>103</v>
      </c>
      <c r="M6" s="78" t="s">
        <v>104</v>
      </c>
      <c r="N6" s="78" t="s">
        <v>32</v>
      </c>
      <c r="O6" s="78" t="s">
        <v>105</v>
      </c>
      <c r="P6" s="78" t="s">
        <v>106</v>
      </c>
      <c r="Q6" s="78" t="s">
        <v>107</v>
      </c>
      <c r="R6" s="78" t="s">
        <v>108</v>
      </c>
      <c r="S6" s="78" t="s">
        <v>109</v>
      </c>
      <c r="T6" s="78" t="s">
        <v>110</v>
      </c>
      <c r="U6" s="78" t="s">
        <v>111</v>
      </c>
      <c r="V6" s="79" t="s">
        <v>77</v>
      </c>
      <c r="W6" s="69"/>
      <c r="X6" s="69"/>
      <c r="Y6" s="69"/>
      <c r="Z6" s="69"/>
      <c r="AA6" s="69"/>
    </row>
    <row r="7" spans="1:27" ht="24.9" customHeight="1" thickTop="1" thickBot="1" x14ac:dyDescent="0.45">
      <c r="A7" s="80" t="s">
        <v>13</v>
      </c>
      <c r="B7" s="81"/>
      <c r="C7" s="81"/>
      <c r="D7" s="81"/>
      <c r="E7" s="82"/>
      <c r="F7" s="83"/>
      <c r="G7" s="84"/>
      <c r="H7" s="85"/>
      <c r="I7" s="81"/>
      <c r="J7" s="81"/>
      <c r="K7" s="86"/>
      <c r="L7" s="85"/>
      <c r="M7" s="85"/>
      <c r="N7" s="87"/>
      <c r="O7" s="88"/>
      <c r="P7" s="88"/>
      <c r="Q7" s="89"/>
      <c r="R7" s="89"/>
      <c r="S7" s="89"/>
      <c r="T7" s="84"/>
      <c r="U7" s="90"/>
      <c r="V7" s="91"/>
      <c r="W7" s="69"/>
      <c r="X7" s="69"/>
      <c r="Y7" s="69"/>
      <c r="Z7" s="69"/>
      <c r="AA7" s="69"/>
    </row>
    <row r="8" spans="1:27" ht="24.9" customHeight="1" thickTop="1" thickBot="1" x14ac:dyDescent="0.45">
      <c r="A8" s="80">
        <v>1</v>
      </c>
      <c r="B8" s="279"/>
      <c r="C8" s="93"/>
      <c r="D8" s="280"/>
      <c r="E8" s="81"/>
      <c r="F8" s="81"/>
      <c r="G8" s="84"/>
      <c r="H8" s="85"/>
      <c r="I8" s="84"/>
      <c r="J8" s="85"/>
      <c r="K8" s="95"/>
      <c r="L8" s="85"/>
      <c r="M8" s="85"/>
      <c r="N8" s="87"/>
      <c r="O8" s="88"/>
      <c r="P8" s="88"/>
      <c r="Q8" s="88"/>
      <c r="R8" s="88"/>
      <c r="S8" s="88"/>
      <c r="T8" s="84"/>
      <c r="U8" s="84"/>
      <c r="V8" s="96"/>
      <c r="W8" s="69"/>
      <c r="X8" s="69"/>
      <c r="Y8" s="69"/>
      <c r="Z8" s="69"/>
      <c r="AA8" s="69"/>
    </row>
    <row r="9" spans="1:27" ht="24.9" customHeight="1" thickTop="1" x14ac:dyDescent="0.4">
      <c r="A9" s="80">
        <v>2</v>
      </c>
      <c r="B9" s="97"/>
      <c r="C9" s="98"/>
      <c r="D9" s="99"/>
      <c r="E9" s="81"/>
      <c r="F9" s="81"/>
      <c r="G9" s="84"/>
      <c r="H9" s="85"/>
      <c r="I9" s="86"/>
      <c r="J9" s="85"/>
      <c r="K9" s="95"/>
      <c r="L9" s="85"/>
      <c r="M9" s="85"/>
      <c r="N9" s="87"/>
      <c r="O9" s="88"/>
      <c r="P9" s="88"/>
      <c r="Q9" s="88"/>
      <c r="R9" s="88"/>
      <c r="S9" s="88"/>
      <c r="T9" s="84"/>
      <c r="U9" s="84"/>
      <c r="V9" s="96"/>
      <c r="W9" s="69"/>
      <c r="X9" s="69"/>
      <c r="Y9" s="69"/>
      <c r="Z9" s="69"/>
      <c r="AA9" s="69"/>
    </row>
    <row r="10" spans="1:27" ht="24.9" customHeight="1" x14ac:dyDescent="0.4">
      <c r="A10" s="80">
        <v>3</v>
      </c>
      <c r="B10" s="97"/>
      <c r="C10" s="98"/>
      <c r="D10" s="99"/>
      <c r="E10" s="81"/>
      <c r="F10" s="81"/>
      <c r="G10" s="84"/>
      <c r="H10" s="85"/>
      <c r="I10" s="95"/>
      <c r="J10" s="85"/>
      <c r="K10" s="95"/>
      <c r="L10" s="85"/>
      <c r="M10" s="85"/>
      <c r="N10" s="87"/>
      <c r="O10" s="88"/>
      <c r="P10" s="88"/>
      <c r="Q10" s="88"/>
      <c r="R10" s="88"/>
      <c r="S10" s="88"/>
      <c r="T10" s="84"/>
      <c r="U10" s="84"/>
      <c r="V10" s="96"/>
      <c r="W10" s="69"/>
      <c r="X10" s="69"/>
      <c r="Y10" s="69"/>
      <c r="Z10" s="69"/>
      <c r="AA10" s="69"/>
    </row>
    <row r="11" spans="1:27" ht="24.9" customHeight="1" x14ac:dyDescent="0.4">
      <c r="A11" s="80">
        <v>4</v>
      </c>
      <c r="B11" s="97"/>
      <c r="C11" s="98"/>
      <c r="D11" s="99"/>
      <c r="E11" s="81"/>
      <c r="F11" s="81"/>
      <c r="G11" s="84"/>
      <c r="H11" s="85"/>
      <c r="I11" s="95"/>
      <c r="J11" s="85"/>
      <c r="K11" s="95"/>
      <c r="L11" s="85"/>
      <c r="M11" s="85"/>
      <c r="N11" s="87"/>
      <c r="O11" s="88"/>
      <c r="P11" s="88"/>
      <c r="Q11" s="88"/>
      <c r="R11" s="88"/>
      <c r="S11" s="88"/>
      <c r="T11" s="84"/>
      <c r="U11" s="84"/>
      <c r="V11" s="96"/>
      <c r="W11" s="69"/>
      <c r="X11" s="69"/>
      <c r="Y11" s="69"/>
      <c r="Z11" s="69"/>
      <c r="AA11" s="69"/>
    </row>
    <row r="12" spans="1:27" ht="24.9" customHeight="1" x14ac:dyDescent="0.4">
      <c r="A12" s="80">
        <v>5</v>
      </c>
      <c r="B12" s="97"/>
      <c r="C12" s="98"/>
      <c r="D12" s="99"/>
      <c r="E12" s="81"/>
      <c r="F12" s="81"/>
      <c r="G12" s="84"/>
      <c r="H12" s="85"/>
      <c r="I12" s="95"/>
      <c r="J12" s="85"/>
      <c r="K12" s="95"/>
      <c r="L12" s="85"/>
      <c r="M12" s="85"/>
      <c r="N12" s="87"/>
      <c r="O12" s="88"/>
      <c r="P12" s="88"/>
      <c r="Q12" s="88"/>
      <c r="R12" s="88"/>
      <c r="S12" s="84"/>
      <c r="T12" s="84"/>
      <c r="U12" s="84"/>
      <c r="V12" s="96"/>
      <c r="W12" s="69"/>
      <c r="X12" s="69"/>
      <c r="Y12" s="69"/>
      <c r="Z12" s="69"/>
      <c r="AA12" s="69"/>
    </row>
    <row r="13" spans="1:27" ht="24.9" customHeight="1" x14ac:dyDescent="0.4">
      <c r="A13" s="80">
        <v>6</v>
      </c>
      <c r="B13" s="97"/>
      <c r="C13" s="98"/>
      <c r="D13" s="99"/>
      <c r="E13" s="81"/>
      <c r="F13" s="81"/>
      <c r="G13" s="84"/>
      <c r="H13" s="85"/>
      <c r="I13" s="95"/>
      <c r="J13" s="85"/>
      <c r="K13" s="95"/>
      <c r="L13" s="85"/>
      <c r="M13" s="85"/>
      <c r="N13" s="87"/>
      <c r="O13" s="88"/>
      <c r="P13" s="88"/>
      <c r="Q13" s="88"/>
      <c r="R13" s="88"/>
      <c r="S13" s="88"/>
      <c r="T13" s="84"/>
      <c r="U13" s="84"/>
      <c r="V13" s="96"/>
      <c r="W13" s="69"/>
      <c r="X13" s="69"/>
      <c r="Y13" s="69"/>
      <c r="Z13" s="69"/>
      <c r="AA13" s="69"/>
    </row>
    <row r="14" spans="1:27" ht="24.9" customHeight="1" x14ac:dyDescent="0.4">
      <c r="A14" s="80">
        <v>7</v>
      </c>
      <c r="B14" s="97"/>
      <c r="C14" s="98"/>
      <c r="D14" s="99"/>
      <c r="E14" s="81"/>
      <c r="F14" s="81"/>
      <c r="G14" s="84"/>
      <c r="H14" s="85"/>
      <c r="I14" s="95"/>
      <c r="J14" s="85"/>
      <c r="K14" s="95"/>
      <c r="L14" s="85"/>
      <c r="M14" s="85"/>
      <c r="N14" s="87"/>
      <c r="O14" s="88"/>
      <c r="P14" s="88"/>
      <c r="Q14" s="88"/>
      <c r="R14" s="88"/>
      <c r="S14" s="88"/>
      <c r="T14" s="84"/>
      <c r="U14" s="84"/>
      <c r="V14" s="96"/>
      <c r="W14" s="69"/>
      <c r="X14" s="69"/>
      <c r="Y14" s="69"/>
      <c r="Z14" s="69"/>
      <c r="AA14" s="69"/>
    </row>
    <row r="15" spans="1:27" ht="24.9" customHeight="1" x14ac:dyDescent="0.4">
      <c r="A15" s="80">
        <v>8</v>
      </c>
      <c r="B15" s="97"/>
      <c r="C15" s="98"/>
      <c r="D15" s="99"/>
      <c r="E15" s="81"/>
      <c r="F15" s="81"/>
      <c r="G15" s="84"/>
      <c r="H15" s="85"/>
      <c r="I15" s="95"/>
      <c r="J15" s="85"/>
      <c r="K15" s="95"/>
      <c r="L15" s="85"/>
      <c r="M15" s="85"/>
      <c r="N15" s="87"/>
      <c r="O15" s="88"/>
      <c r="P15" s="88"/>
      <c r="Q15" s="88"/>
      <c r="R15" s="88"/>
      <c r="S15" s="88"/>
      <c r="T15" s="84"/>
      <c r="U15" s="84"/>
      <c r="V15" s="96"/>
      <c r="W15" s="69"/>
      <c r="X15" s="69"/>
      <c r="Y15" s="69"/>
      <c r="Z15" s="69"/>
      <c r="AA15" s="69"/>
    </row>
    <row r="16" spans="1:27" ht="24.9" customHeight="1" x14ac:dyDescent="0.4">
      <c r="A16" s="80">
        <v>9</v>
      </c>
      <c r="B16" s="97"/>
      <c r="C16" s="98"/>
      <c r="D16" s="99"/>
      <c r="E16" s="81"/>
      <c r="F16" s="81"/>
      <c r="G16" s="84"/>
      <c r="H16" s="85"/>
      <c r="I16" s="95"/>
      <c r="J16" s="85"/>
      <c r="K16" s="95"/>
      <c r="L16" s="85"/>
      <c r="M16" s="85"/>
      <c r="N16" s="87"/>
      <c r="O16" s="88"/>
      <c r="P16" s="88"/>
      <c r="Q16" s="88"/>
      <c r="R16" s="88"/>
      <c r="S16" s="88"/>
      <c r="T16" s="84"/>
      <c r="U16" s="84"/>
      <c r="V16" s="96"/>
      <c r="W16" s="69"/>
      <c r="X16" s="69"/>
      <c r="Y16" s="69"/>
      <c r="Z16" s="69"/>
      <c r="AA16" s="69"/>
    </row>
    <row r="17" spans="1:28" ht="24.9" customHeight="1" thickBot="1" x14ac:dyDescent="0.45">
      <c r="A17" s="80">
        <v>10</v>
      </c>
      <c r="B17" s="100"/>
      <c r="C17" s="101"/>
      <c r="D17" s="102"/>
      <c r="E17" s="81"/>
      <c r="F17" s="81"/>
      <c r="G17" s="84"/>
      <c r="H17" s="85"/>
      <c r="I17" s="95"/>
      <c r="J17" s="85"/>
      <c r="K17" s="95"/>
      <c r="L17" s="85"/>
      <c r="M17" s="85"/>
      <c r="N17" s="87"/>
      <c r="O17" s="88"/>
      <c r="P17" s="88"/>
      <c r="Q17" s="88"/>
      <c r="R17" s="88"/>
      <c r="S17" s="88"/>
      <c r="T17" s="84"/>
      <c r="U17" s="84"/>
      <c r="V17" s="96"/>
      <c r="W17" s="69"/>
      <c r="X17" s="69"/>
      <c r="Y17" s="69"/>
      <c r="Z17" s="69"/>
      <c r="AA17" s="69"/>
    </row>
    <row r="18" spans="1:28" ht="24.9" customHeight="1" thickTop="1" thickBot="1" x14ac:dyDescent="0.45">
      <c r="A18" s="80" t="s">
        <v>14</v>
      </c>
      <c r="B18" s="81"/>
      <c r="C18" s="81"/>
      <c r="D18" s="81"/>
      <c r="E18" s="81"/>
      <c r="F18" s="81"/>
      <c r="G18" s="84"/>
      <c r="H18" s="85"/>
      <c r="I18" s="103"/>
      <c r="J18" s="85"/>
      <c r="K18" s="103"/>
      <c r="L18" s="85"/>
      <c r="M18" s="85"/>
      <c r="N18" s="87"/>
      <c r="O18" s="88"/>
      <c r="P18" s="88"/>
      <c r="Q18" s="88"/>
      <c r="R18" s="88"/>
      <c r="S18" s="88"/>
      <c r="T18" s="84"/>
      <c r="U18" s="84"/>
      <c r="V18" s="91"/>
      <c r="W18" s="69"/>
      <c r="X18" s="69"/>
      <c r="Y18" s="69"/>
      <c r="Z18" s="69"/>
      <c r="AA18" s="69"/>
    </row>
    <row r="19" spans="1:28" ht="24.9" customHeight="1" thickTop="1" x14ac:dyDescent="0.55000000000000004">
      <c r="A19" s="80" t="s">
        <v>99</v>
      </c>
      <c r="B19" s="81"/>
      <c r="C19" s="81"/>
      <c r="D19" s="81"/>
      <c r="E19" s="81"/>
      <c r="F19" s="81"/>
      <c r="G19" s="104" t="s">
        <v>112</v>
      </c>
      <c r="H19" s="85"/>
      <c r="I19" s="105"/>
      <c r="J19" s="105"/>
      <c r="K19" s="81"/>
      <c r="L19" s="81"/>
      <c r="M19" s="81"/>
      <c r="N19" s="81"/>
      <c r="O19" s="105"/>
      <c r="P19" s="106"/>
      <c r="Q19" s="106"/>
      <c r="R19" s="106"/>
      <c r="S19" s="106"/>
      <c r="T19" s="106"/>
      <c r="U19" s="106"/>
      <c r="V19" s="107"/>
      <c r="W19" s="69"/>
      <c r="X19" s="69"/>
      <c r="Y19" s="69"/>
      <c r="Z19" s="69"/>
      <c r="AA19" s="69"/>
    </row>
    <row r="20" spans="1:28" ht="24.9" customHeight="1" thickBot="1" x14ac:dyDescent="0.45">
      <c r="A20" s="108"/>
      <c r="B20" s="109"/>
      <c r="C20" s="109"/>
      <c r="D20" s="109"/>
      <c r="E20" s="109"/>
      <c r="F20" s="109"/>
      <c r="G20" s="110" t="s">
        <v>179</v>
      </c>
      <c r="H20" s="276"/>
      <c r="I20" s="112"/>
      <c r="J20" s="112"/>
      <c r="K20" s="109"/>
      <c r="L20" s="109"/>
      <c r="M20" s="109"/>
      <c r="N20" s="109"/>
      <c r="O20" s="112"/>
      <c r="P20" s="113"/>
      <c r="Q20" s="113"/>
      <c r="R20" s="113"/>
      <c r="S20" s="113"/>
      <c r="T20" s="113"/>
      <c r="U20" s="113"/>
      <c r="V20" s="114"/>
      <c r="W20" s="69"/>
      <c r="X20" s="69"/>
      <c r="Y20" s="69"/>
      <c r="Z20" s="69"/>
      <c r="AA20" s="69"/>
    </row>
    <row r="21" spans="1:28" ht="24.9" customHeight="1" thickTop="1" thickBot="1" x14ac:dyDescent="0.45">
      <c r="A21" s="115"/>
      <c r="B21" s="115"/>
      <c r="C21" s="115"/>
      <c r="D21" s="115"/>
      <c r="E21" s="115"/>
      <c r="F21" s="115"/>
      <c r="G21" s="116"/>
      <c r="H21" s="117"/>
      <c r="I21" s="118"/>
      <c r="J21" s="118"/>
      <c r="K21" s="115"/>
      <c r="L21" s="115"/>
      <c r="M21" s="115"/>
      <c r="N21" s="115"/>
      <c r="O21" s="65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  <row r="22" spans="1:28" ht="24.9" customHeight="1" thickTop="1" x14ac:dyDescent="0.65">
      <c r="A22" s="119" t="s">
        <v>5</v>
      </c>
      <c r="B22" s="120"/>
      <c r="C22" s="120"/>
      <c r="D22" s="121"/>
      <c r="E22" s="317" t="s">
        <v>113</v>
      </c>
      <c r="F22" s="318"/>
      <c r="G22" s="318"/>
      <c r="H22" s="319"/>
      <c r="I22" s="317" t="s">
        <v>114</v>
      </c>
      <c r="J22" s="319"/>
      <c r="K22" s="277" t="s">
        <v>115</v>
      </c>
      <c r="L22" s="277" t="s">
        <v>116</v>
      </c>
      <c r="M22" s="277" t="s">
        <v>70</v>
      </c>
      <c r="N22" s="277" t="s">
        <v>117</v>
      </c>
      <c r="O22" s="278" t="s">
        <v>72</v>
      </c>
      <c r="Q22" s="285" t="s">
        <v>124</v>
      </c>
      <c r="R22" s="120"/>
      <c r="S22" s="286"/>
      <c r="T22" s="287"/>
      <c r="U22" s="194"/>
      <c r="V22" s="194"/>
      <c r="W22" s="286"/>
      <c r="X22" s="288"/>
      <c r="Y22" s="65"/>
      <c r="Z22" s="65"/>
      <c r="AA22" s="69"/>
    </row>
    <row r="23" spans="1:28" ht="24.9" customHeight="1" x14ac:dyDescent="0.5">
      <c r="A23" s="127"/>
      <c r="B23" s="128" t="s">
        <v>8</v>
      </c>
      <c r="C23" s="128" t="s">
        <v>9</v>
      </c>
      <c r="D23" s="129" t="s">
        <v>10</v>
      </c>
      <c r="E23" s="130" t="s">
        <v>73</v>
      </c>
      <c r="F23" s="130" t="s">
        <v>74</v>
      </c>
      <c r="G23" s="130" t="s">
        <v>75</v>
      </c>
      <c r="H23" s="130" t="s">
        <v>76</v>
      </c>
      <c r="I23" s="131" t="s">
        <v>73</v>
      </c>
      <c r="J23" s="132" t="s">
        <v>74</v>
      </c>
      <c r="K23" s="130"/>
      <c r="L23" s="130"/>
      <c r="M23" s="130"/>
      <c r="N23" s="133"/>
      <c r="O23" s="134"/>
      <c r="Q23" s="289" t="s">
        <v>121</v>
      </c>
      <c r="R23" s="166"/>
      <c r="S23" s="266"/>
      <c r="T23" s="267"/>
      <c r="U23" s="128"/>
      <c r="V23" s="284"/>
      <c r="W23" s="266"/>
      <c r="X23" s="290"/>
      <c r="Y23" s="65"/>
      <c r="Z23" s="65"/>
      <c r="AA23" s="69"/>
    </row>
    <row r="24" spans="1:28" ht="24.9" customHeight="1" thickBot="1" x14ac:dyDescent="0.7">
      <c r="A24" s="127" t="s">
        <v>6</v>
      </c>
      <c r="B24" s="128">
        <v>6.8927199999999997</v>
      </c>
      <c r="C24" s="128">
        <v>1203.5309999999999</v>
      </c>
      <c r="D24" s="129">
        <v>219.88800000000001</v>
      </c>
      <c r="E24" s="135">
        <v>7.4060000000000001E-2</v>
      </c>
      <c r="F24" s="135">
        <v>3.2949999999999999E-4</v>
      </c>
      <c r="G24" s="135">
        <v>-2.5199999999999998E-7</v>
      </c>
      <c r="H24" s="135">
        <v>7.7569999999999997E-11</v>
      </c>
      <c r="I24" s="136">
        <v>0.1265</v>
      </c>
      <c r="J24" s="137">
        <v>2.34E-4</v>
      </c>
      <c r="K24" s="138">
        <v>80.099999999999994</v>
      </c>
      <c r="L24" s="139">
        <v>30.765000000000001</v>
      </c>
      <c r="M24" s="138">
        <v>78.11</v>
      </c>
      <c r="N24" s="130">
        <v>879</v>
      </c>
      <c r="O24" s="140">
        <f>+M24/N24</f>
        <v>8.8862343572241181E-2</v>
      </c>
      <c r="Q24" s="291" t="s">
        <v>123</v>
      </c>
      <c r="R24" s="292"/>
      <c r="S24" s="293"/>
      <c r="T24" s="294"/>
      <c r="U24" s="143"/>
      <c r="V24" s="295"/>
      <c r="W24" s="296"/>
      <c r="X24" s="168"/>
      <c r="Y24" s="65"/>
      <c r="Z24" s="65"/>
      <c r="AA24" s="69"/>
    </row>
    <row r="25" spans="1:28" ht="24.9" customHeight="1" thickTop="1" thickBot="1" x14ac:dyDescent="0.45">
      <c r="A25" s="142" t="s">
        <v>7</v>
      </c>
      <c r="B25" s="143">
        <v>6.9580500000000001</v>
      </c>
      <c r="C25" s="143">
        <v>1346.7729999999999</v>
      </c>
      <c r="D25" s="281">
        <v>219.69300000000001</v>
      </c>
      <c r="E25" s="145">
        <v>9.418E-2</v>
      </c>
      <c r="F25" s="145">
        <v>3.8000000000000002E-4</v>
      </c>
      <c r="G25" s="145">
        <v>-2.7860000000000002E-7</v>
      </c>
      <c r="H25" s="145">
        <v>8.0329999999999996E-11</v>
      </c>
      <c r="I25" s="146">
        <v>0.14879999999999999</v>
      </c>
      <c r="J25" s="147">
        <v>3.2400000000000001E-4</v>
      </c>
      <c r="K25" s="148">
        <v>110.62</v>
      </c>
      <c r="L25" s="149">
        <v>33.47</v>
      </c>
      <c r="M25" s="148">
        <v>92.13</v>
      </c>
      <c r="N25" s="150">
        <v>866</v>
      </c>
      <c r="O25" s="151">
        <f>+M25/N25</f>
        <v>0.10638568129330253</v>
      </c>
      <c r="P25" s="65"/>
      <c r="Q25" s="115"/>
      <c r="R25" s="141"/>
      <c r="S25" s="124"/>
      <c r="T25" s="125"/>
      <c r="U25" s="282"/>
      <c r="V25" s="282"/>
      <c r="W25" s="125"/>
      <c r="X25" s="65"/>
      <c r="Y25" s="65"/>
      <c r="Z25" s="65"/>
      <c r="AA25" s="69"/>
    </row>
    <row r="26" spans="1:28" ht="24.9" customHeight="1" thickTop="1" x14ac:dyDescent="0.4">
      <c r="A26" s="65"/>
      <c r="B26" s="65"/>
      <c r="C26" s="65"/>
      <c r="D26" s="65"/>
      <c r="E26" s="65"/>
      <c r="F26" s="65"/>
      <c r="G26" s="65"/>
      <c r="H26" s="65"/>
      <c r="I26" s="65"/>
      <c r="J26" s="124"/>
      <c r="K26" s="65"/>
      <c r="L26" s="65"/>
      <c r="M26" s="65"/>
      <c r="N26" s="65"/>
      <c r="O26" s="65"/>
      <c r="P26" s="65"/>
      <c r="Q26" s="115"/>
      <c r="R26" s="152"/>
      <c r="S26" s="124"/>
      <c r="T26" s="125"/>
      <c r="U26" s="282"/>
      <c r="V26" s="282"/>
      <c r="W26" s="125"/>
      <c r="X26" s="65"/>
      <c r="Y26" s="65"/>
      <c r="Z26" s="65"/>
      <c r="AA26" s="69"/>
    </row>
    <row r="27" spans="1:28" ht="24.9" customHeight="1" x14ac:dyDescent="0.4">
      <c r="A27" s="118"/>
      <c r="B27" s="118"/>
      <c r="C27" s="116"/>
      <c r="D27" s="118"/>
      <c r="E27" s="346"/>
      <c r="F27" s="346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5"/>
      <c r="R27" s="154"/>
      <c r="S27" s="116"/>
      <c r="T27" s="297"/>
      <c r="U27" s="115"/>
      <c r="V27" s="115"/>
      <c r="W27" s="297"/>
      <c r="X27" s="118"/>
      <c r="Y27" s="118"/>
      <c r="Z27" s="118"/>
      <c r="AA27" s="298"/>
      <c r="AB27" s="299"/>
    </row>
    <row r="28" spans="1:28" ht="24.9" customHeight="1" x14ac:dyDescent="0.4">
      <c r="A28" s="115"/>
      <c r="B28" s="115"/>
      <c r="C28" s="115"/>
      <c r="D28" s="297"/>
      <c r="E28" s="115"/>
      <c r="F28" s="115"/>
      <c r="G28" s="118"/>
      <c r="H28" s="115"/>
      <c r="I28" s="115"/>
      <c r="J28" s="115"/>
      <c r="K28" s="115"/>
      <c r="L28" s="115"/>
      <c r="M28" s="115"/>
      <c r="N28" s="118"/>
      <c r="O28" s="118"/>
      <c r="P28" s="118"/>
      <c r="Q28" s="118"/>
      <c r="R28" s="118"/>
      <c r="S28" s="116"/>
      <c r="T28" s="297"/>
      <c r="U28" s="115"/>
      <c r="V28" s="115"/>
      <c r="W28" s="297"/>
      <c r="X28" s="118"/>
      <c r="Y28" s="118"/>
      <c r="Z28" s="118"/>
      <c r="AA28" s="298"/>
      <c r="AB28" s="299"/>
    </row>
    <row r="29" spans="1:28" ht="24.9" customHeight="1" x14ac:dyDescent="0.4">
      <c r="A29" s="115"/>
      <c r="B29" s="117"/>
      <c r="C29" s="117"/>
      <c r="D29" s="115"/>
      <c r="E29" s="117"/>
      <c r="F29" s="117"/>
      <c r="G29" s="118"/>
      <c r="H29" s="300"/>
      <c r="I29" s="301"/>
      <c r="J29" s="301"/>
      <c r="K29" s="300"/>
      <c r="L29" s="152"/>
      <c r="M29" s="300"/>
      <c r="N29" s="11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9"/>
    </row>
    <row r="30" spans="1:28" ht="24.9" customHeight="1" x14ac:dyDescent="0.4">
      <c r="A30" s="115"/>
      <c r="B30" s="117"/>
      <c r="C30" s="117"/>
      <c r="D30" s="118"/>
      <c r="E30" s="117"/>
      <c r="F30" s="117"/>
      <c r="G30" s="118"/>
      <c r="H30" s="300"/>
      <c r="I30" s="301"/>
      <c r="J30" s="301"/>
      <c r="K30" s="300"/>
      <c r="L30" s="152"/>
      <c r="M30" s="300"/>
      <c r="N30" s="118"/>
      <c r="O30" s="11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9"/>
    </row>
    <row r="31" spans="1:28" ht="24.9" customHeight="1" x14ac:dyDescent="0.4">
      <c r="A31" s="115"/>
      <c r="B31" s="117"/>
      <c r="C31" s="117"/>
      <c r="D31" s="118"/>
      <c r="E31" s="117"/>
      <c r="F31" s="117"/>
      <c r="G31" s="118"/>
      <c r="H31" s="300"/>
      <c r="I31" s="301"/>
      <c r="J31" s="301"/>
      <c r="K31" s="300"/>
      <c r="L31" s="152"/>
      <c r="M31" s="300"/>
      <c r="N31" s="118"/>
      <c r="O31" s="118"/>
      <c r="P31" s="118"/>
      <c r="Q31" s="118"/>
      <c r="R31" s="118"/>
      <c r="S31" s="117"/>
      <c r="T31" s="117"/>
      <c r="U31" s="118"/>
      <c r="V31" s="118"/>
      <c r="W31" s="118"/>
      <c r="X31" s="118"/>
      <c r="Y31" s="118"/>
      <c r="Z31" s="118"/>
      <c r="AA31" s="298"/>
      <c r="AB31" s="299"/>
    </row>
    <row r="32" spans="1:28" ht="24.9" customHeight="1" x14ac:dyDescent="0.4">
      <c r="A32" s="115"/>
      <c r="B32" s="117"/>
      <c r="C32" s="117"/>
      <c r="D32" s="118"/>
      <c r="E32" s="117"/>
      <c r="F32" s="117"/>
      <c r="G32" s="118"/>
      <c r="H32" s="300"/>
      <c r="I32" s="301"/>
      <c r="J32" s="301"/>
      <c r="K32" s="300"/>
      <c r="L32" s="152"/>
      <c r="M32" s="300"/>
      <c r="N32" s="118"/>
      <c r="O32" s="115"/>
      <c r="P32" s="302"/>
      <c r="Q32" s="302"/>
      <c r="R32" s="302"/>
      <c r="S32" s="302"/>
      <c r="T32" s="302"/>
      <c r="U32" s="302"/>
      <c r="V32" s="115"/>
      <c r="W32" s="115"/>
      <c r="X32" s="115"/>
      <c r="Y32" s="115"/>
      <c r="Z32" s="115"/>
      <c r="AA32" s="298"/>
      <c r="AB32" s="299"/>
    </row>
    <row r="33" spans="1:28" ht="24.9" customHeight="1" x14ac:dyDescent="0.4">
      <c r="A33" s="115"/>
      <c r="B33" s="117"/>
      <c r="C33" s="117"/>
      <c r="D33" s="118"/>
      <c r="E33" s="117"/>
      <c r="F33" s="117"/>
      <c r="G33" s="118"/>
      <c r="H33" s="300"/>
      <c r="I33" s="301"/>
      <c r="J33" s="301"/>
      <c r="K33" s="300"/>
      <c r="L33" s="152"/>
      <c r="M33" s="300"/>
      <c r="N33" s="118"/>
      <c r="O33" s="298"/>
      <c r="P33" s="302"/>
      <c r="Q33" s="302"/>
      <c r="R33" s="115"/>
      <c r="S33" s="115"/>
      <c r="T33" s="115"/>
      <c r="U33" s="115"/>
      <c r="V33" s="115"/>
      <c r="W33" s="115"/>
      <c r="X33" s="115"/>
      <c r="Y33" s="115"/>
      <c r="Z33" s="115"/>
      <c r="AA33" s="298"/>
      <c r="AB33" s="299"/>
    </row>
    <row r="34" spans="1:28" ht="24.9" customHeight="1" x14ac:dyDescent="0.4">
      <c r="A34" s="115"/>
      <c r="B34" s="117"/>
      <c r="C34" s="117"/>
      <c r="D34" s="118"/>
      <c r="E34" s="117"/>
      <c r="F34" s="117"/>
      <c r="G34" s="118"/>
      <c r="H34" s="300"/>
      <c r="I34" s="301"/>
      <c r="J34" s="301"/>
      <c r="K34" s="300"/>
      <c r="L34" s="152"/>
      <c r="M34" s="300"/>
      <c r="N34" s="118"/>
      <c r="O34" s="115"/>
      <c r="P34" s="302"/>
      <c r="Q34" s="302"/>
      <c r="R34" s="303"/>
      <c r="S34" s="303"/>
      <c r="T34" s="115"/>
      <c r="U34" s="304"/>
      <c r="V34" s="115"/>
      <c r="W34" s="304"/>
      <c r="X34" s="115"/>
      <c r="Y34" s="115"/>
      <c r="Z34" s="152"/>
      <c r="AA34" s="298"/>
      <c r="AB34" s="299"/>
    </row>
    <row r="35" spans="1:28" ht="24.9" customHeight="1" x14ac:dyDescent="0.4">
      <c r="A35" s="115"/>
      <c r="B35" s="117"/>
      <c r="C35" s="117"/>
      <c r="D35" s="118"/>
      <c r="E35" s="117"/>
      <c r="F35" s="117"/>
      <c r="G35" s="118"/>
      <c r="H35" s="300"/>
      <c r="I35" s="301"/>
      <c r="J35" s="301"/>
      <c r="K35" s="300"/>
      <c r="L35" s="152"/>
      <c r="M35" s="300"/>
      <c r="N35" s="118"/>
      <c r="O35" s="115"/>
      <c r="P35" s="302"/>
      <c r="Q35" s="115"/>
      <c r="R35" s="303"/>
      <c r="S35" s="303"/>
      <c r="T35" s="304"/>
      <c r="U35" s="304"/>
      <c r="V35" s="115"/>
      <c r="W35" s="304"/>
      <c r="X35" s="115"/>
      <c r="Y35" s="304"/>
      <c r="Z35" s="152"/>
      <c r="AA35" s="298"/>
      <c r="AB35" s="299"/>
    </row>
    <row r="36" spans="1:28" ht="24.9" customHeight="1" x14ac:dyDescent="0.4">
      <c r="A36" s="115"/>
      <c r="B36" s="117"/>
      <c r="C36" s="117"/>
      <c r="D36" s="118"/>
      <c r="E36" s="117"/>
      <c r="F36" s="117"/>
      <c r="G36" s="118"/>
      <c r="H36" s="300"/>
      <c r="I36" s="301"/>
      <c r="J36" s="301"/>
      <c r="K36" s="300"/>
      <c r="L36" s="152"/>
      <c r="M36" s="300"/>
      <c r="N36" s="118"/>
      <c r="O36" s="115"/>
      <c r="P36" s="302"/>
      <c r="Q36" s="115"/>
      <c r="R36" s="303"/>
      <c r="S36" s="303"/>
      <c r="T36" s="304"/>
      <c r="U36" s="304"/>
      <c r="V36" s="115"/>
      <c r="W36" s="304"/>
      <c r="X36" s="115"/>
      <c r="Y36" s="304"/>
      <c r="Z36" s="152"/>
      <c r="AA36" s="298"/>
      <c r="AB36" s="299"/>
    </row>
    <row r="37" spans="1:28" ht="24.9" customHeight="1" x14ac:dyDescent="0.4">
      <c r="A37" s="115"/>
      <c r="B37" s="117"/>
      <c r="C37" s="117"/>
      <c r="D37" s="118"/>
      <c r="E37" s="117"/>
      <c r="F37" s="117"/>
      <c r="G37" s="118"/>
      <c r="H37" s="300"/>
      <c r="I37" s="301"/>
      <c r="J37" s="301"/>
      <c r="K37" s="300"/>
      <c r="L37" s="152"/>
      <c r="M37" s="300"/>
      <c r="N37" s="118"/>
      <c r="O37" s="115"/>
      <c r="P37" s="302"/>
      <c r="Q37" s="115"/>
      <c r="R37" s="303"/>
      <c r="S37" s="303"/>
      <c r="T37" s="304"/>
      <c r="U37" s="304"/>
      <c r="V37" s="115"/>
      <c r="W37" s="304"/>
      <c r="X37" s="115"/>
      <c r="Y37" s="304"/>
      <c r="Z37" s="152"/>
      <c r="AA37" s="298"/>
      <c r="AB37" s="299"/>
    </row>
    <row r="38" spans="1:28" ht="24.9" customHeight="1" x14ac:dyDescent="0.4">
      <c r="A38" s="115"/>
      <c r="B38" s="117"/>
      <c r="C38" s="117"/>
      <c r="D38" s="118"/>
      <c r="E38" s="117"/>
      <c r="F38" s="117"/>
      <c r="G38" s="118"/>
      <c r="H38" s="300"/>
      <c r="I38" s="301"/>
      <c r="J38" s="301"/>
      <c r="K38" s="300"/>
      <c r="L38" s="152"/>
      <c r="M38" s="300"/>
      <c r="N38" s="118"/>
      <c r="O38" s="115"/>
      <c r="P38" s="302"/>
      <c r="Q38" s="115"/>
      <c r="R38" s="303"/>
      <c r="S38" s="303"/>
      <c r="T38" s="304"/>
      <c r="U38" s="304"/>
      <c r="V38" s="115"/>
      <c r="W38" s="304"/>
      <c r="X38" s="115"/>
      <c r="Y38" s="304"/>
      <c r="Z38" s="152"/>
      <c r="AA38" s="298"/>
      <c r="AB38" s="299"/>
    </row>
    <row r="39" spans="1:28" ht="24.9" customHeight="1" x14ac:dyDescent="0.4">
      <c r="A39" s="115"/>
      <c r="B39" s="117"/>
      <c r="C39" s="117"/>
      <c r="D39" s="118"/>
      <c r="E39" s="117"/>
      <c r="F39" s="117"/>
      <c r="G39" s="118"/>
      <c r="H39" s="300"/>
      <c r="I39" s="301"/>
      <c r="J39" s="301"/>
      <c r="K39" s="300"/>
      <c r="L39" s="152"/>
      <c r="M39" s="300"/>
      <c r="N39" s="118"/>
      <c r="O39" s="115"/>
      <c r="P39" s="302"/>
      <c r="Q39" s="115"/>
      <c r="R39" s="303"/>
      <c r="S39" s="303"/>
      <c r="T39" s="304"/>
      <c r="U39" s="304"/>
      <c r="V39" s="115"/>
      <c r="W39" s="304"/>
      <c r="X39" s="115"/>
      <c r="Y39" s="304"/>
      <c r="Z39" s="152"/>
      <c r="AA39" s="298"/>
      <c r="AB39" s="299"/>
    </row>
    <row r="40" spans="1:28" ht="24.9" customHeight="1" x14ac:dyDescent="0.4">
      <c r="A40" s="118"/>
      <c r="B40" s="118"/>
      <c r="C40" s="118"/>
      <c r="D40" s="118"/>
      <c r="E40" s="117"/>
      <c r="F40" s="117"/>
      <c r="G40" s="118"/>
      <c r="H40" s="300"/>
      <c r="I40" s="301"/>
      <c r="J40" s="301"/>
      <c r="K40" s="300"/>
      <c r="L40" s="152"/>
      <c r="M40" s="300"/>
      <c r="N40" s="118"/>
      <c r="O40" s="115"/>
      <c r="P40" s="302"/>
      <c r="Q40" s="115"/>
      <c r="R40" s="303"/>
      <c r="S40" s="303"/>
      <c r="T40" s="304"/>
      <c r="U40" s="304"/>
      <c r="V40" s="115"/>
      <c r="W40" s="304"/>
      <c r="X40" s="115"/>
      <c r="Y40" s="304"/>
      <c r="Z40" s="152"/>
      <c r="AA40" s="298"/>
      <c r="AB40" s="299"/>
    </row>
    <row r="41" spans="1:28" ht="24.9" customHeight="1" x14ac:dyDescent="0.4">
      <c r="A41" s="115"/>
      <c r="B41" s="115"/>
      <c r="C41" s="115"/>
      <c r="D41" s="118"/>
      <c r="E41" s="117"/>
      <c r="F41" s="117"/>
      <c r="G41" s="118"/>
      <c r="H41" s="118"/>
      <c r="I41" s="118"/>
      <c r="J41" s="118"/>
      <c r="K41" s="118"/>
      <c r="L41" s="118"/>
      <c r="M41" s="118"/>
      <c r="N41" s="118"/>
      <c r="O41" s="115"/>
      <c r="P41" s="302"/>
      <c r="Q41" s="115"/>
      <c r="R41" s="303"/>
      <c r="S41" s="303"/>
      <c r="T41" s="304"/>
      <c r="U41" s="304"/>
      <c r="V41" s="115"/>
      <c r="W41" s="304"/>
      <c r="X41" s="115"/>
      <c r="Y41" s="304"/>
      <c r="Z41" s="152"/>
      <c r="AA41" s="298"/>
      <c r="AB41" s="299"/>
    </row>
    <row r="42" spans="1:28" ht="24.9" customHeight="1" x14ac:dyDescent="0.4">
      <c r="A42" s="115"/>
      <c r="B42" s="115"/>
      <c r="C42" s="115"/>
      <c r="D42" s="118"/>
      <c r="E42" s="117"/>
      <c r="F42" s="117"/>
      <c r="G42" s="118"/>
      <c r="H42" s="118"/>
      <c r="I42" s="118"/>
      <c r="J42" s="118"/>
      <c r="K42" s="118"/>
      <c r="L42" s="118"/>
      <c r="M42" s="118"/>
      <c r="N42" s="118"/>
      <c r="O42" s="115"/>
      <c r="P42" s="302"/>
      <c r="Q42" s="115"/>
      <c r="R42" s="303"/>
      <c r="S42" s="303"/>
      <c r="T42" s="304"/>
      <c r="U42" s="304"/>
      <c r="V42" s="115"/>
      <c r="W42" s="304"/>
      <c r="X42" s="115"/>
      <c r="Y42" s="304"/>
      <c r="Z42" s="152"/>
      <c r="AA42" s="298"/>
      <c r="AB42" s="299"/>
    </row>
    <row r="43" spans="1:28" ht="24.9" customHeight="1" x14ac:dyDescent="0.4">
      <c r="A43" s="115"/>
      <c r="B43" s="115"/>
      <c r="C43" s="115"/>
      <c r="D43" s="118"/>
      <c r="E43" s="117"/>
      <c r="F43" s="117"/>
      <c r="G43" s="118"/>
      <c r="H43" s="118"/>
      <c r="I43" s="118"/>
      <c r="J43" s="118"/>
      <c r="K43" s="118"/>
      <c r="L43" s="118"/>
      <c r="M43" s="118"/>
      <c r="N43" s="118"/>
      <c r="O43" s="115"/>
      <c r="P43" s="302"/>
      <c r="Q43" s="115"/>
      <c r="R43" s="303"/>
      <c r="S43" s="303"/>
      <c r="T43" s="304"/>
      <c r="U43" s="304"/>
      <c r="V43" s="115"/>
      <c r="W43" s="304"/>
      <c r="X43" s="115"/>
      <c r="Y43" s="304"/>
      <c r="Z43" s="152"/>
      <c r="AA43" s="298"/>
      <c r="AB43" s="299"/>
    </row>
    <row r="44" spans="1:28" ht="24.9" customHeight="1" x14ac:dyDescent="0.4">
      <c r="A44" s="115"/>
      <c r="B44" s="115"/>
      <c r="C44" s="115"/>
      <c r="D44" s="118"/>
      <c r="E44" s="117"/>
      <c r="F44" s="117"/>
      <c r="G44" s="118"/>
      <c r="H44" s="118"/>
      <c r="I44" s="118"/>
      <c r="J44" s="118"/>
      <c r="K44" s="118"/>
      <c r="L44" s="118"/>
      <c r="M44" s="118"/>
      <c r="N44" s="118"/>
      <c r="O44" s="115"/>
      <c r="P44" s="302"/>
      <c r="Q44" s="115"/>
      <c r="R44" s="303"/>
      <c r="S44" s="303"/>
      <c r="T44" s="304"/>
      <c r="U44" s="304"/>
      <c r="V44" s="115"/>
      <c r="W44" s="304"/>
      <c r="X44" s="115"/>
      <c r="Y44" s="304"/>
      <c r="Z44" s="152"/>
      <c r="AA44" s="298"/>
      <c r="AB44" s="299"/>
    </row>
    <row r="45" spans="1:28" ht="24.9" customHeight="1" x14ac:dyDescent="0.4">
      <c r="A45" s="115"/>
      <c r="B45" s="117"/>
      <c r="C45" s="115"/>
      <c r="D45" s="118"/>
      <c r="E45" s="117"/>
      <c r="F45" s="117"/>
      <c r="G45" s="118"/>
      <c r="H45" s="118"/>
      <c r="I45" s="118"/>
      <c r="J45" s="118"/>
      <c r="K45" s="118"/>
      <c r="L45" s="118"/>
      <c r="M45" s="118"/>
      <c r="N45" s="118"/>
      <c r="O45" s="115"/>
      <c r="P45" s="302"/>
      <c r="Q45" s="302"/>
      <c r="R45" s="303"/>
      <c r="S45" s="303"/>
      <c r="T45" s="304"/>
      <c r="U45" s="304"/>
      <c r="V45" s="115"/>
      <c r="W45" s="304"/>
      <c r="X45" s="115"/>
      <c r="Y45" s="304"/>
      <c r="Z45" s="152"/>
      <c r="AA45" s="298"/>
      <c r="AB45" s="299"/>
    </row>
    <row r="46" spans="1:28" ht="24.9" customHeight="1" x14ac:dyDescent="0.4">
      <c r="A46" s="115"/>
      <c r="B46" s="115"/>
      <c r="C46" s="115"/>
      <c r="D46" s="118"/>
      <c r="E46" s="117"/>
      <c r="F46" s="117"/>
      <c r="G46" s="118"/>
      <c r="H46" s="118"/>
      <c r="I46" s="118"/>
      <c r="J46" s="118"/>
      <c r="K46" s="118"/>
      <c r="L46" s="118"/>
      <c r="M46" s="118"/>
      <c r="N46" s="118"/>
      <c r="O46" s="11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9"/>
    </row>
    <row r="47" spans="1:28" ht="24.9" customHeight="1" x14ac:dyDescent="0.4">
      <c r="A47" s="115"/>
      <c r="B47" s="115"/>
      <c r="C47" s="115"/>
      <c r="D47" s="118"/>
      <c r="E47" s="117"/>
      <c r="F47" s="117"/>
      <c r="G47" s="118"/>
      <c r="H47" s="118"/>
      <c r="I47" s="118"/>
      <c r="J47" s="118"/>
      <c r="K47" s="118"/>
      <c r="L47" s="118"/>
      <c r="M47" s="118"/>
      <c r="N47" s="118"/>
      <c r="O47" s="118"/>
      <c r="P47" s="298"/>
      <c r="Q47" s="305"/>
      <c r="R47" s="305"/>
      <c r="S47" s="305"/>
      <c r="T47" s="305"/>
      <c r="U47" s="305"/>
      <c r="V47" s="305"/>
      <c r="W47" s="305"/>
      <c r="X47" s="305"/>
      <c r="Y47" s="298"/>
      <c r="Z47" s="298"/>
      <c r="AA47" s="298"/>
      <c r="AB47" s="299"/>
    </row>
    <row r="48" spans="1:28" ht="24.9" customHeight="1" x14ac:dyDescent="0.4">
      <c r="A48" s="118"/>
      <c r="B48" s="118"/>
      <c r="C48" s="118"/>
      <c r="D48" s="118"/>
      <c r="E48" s="117"/>
      <c r="F48" s="117"/>
      <c r="G48" s="118"/>
      <c r="H48" s="118"/>
      <c r="I48" s="118"/>
      <c r="J48" s="118"/>
      <c r="K48" s="118"/>
      <c r="L48" s="118"/>
      <c r="M48" s="118"/>
      <c r="N48" s="118"/>
      <c r="O48" s="118"/>
      <c r="P48" s="298"/>
      <c r="Q48" s="306"/>
      <c r="R48" s="307"/>
      <c r="S48" s="306"/>
      <c r="T48" s="306"/>
      <c r="U48" s="308"/>
      <c r="V48" s="305"/>
      <c r="W48" s="305"/>
      <c r="X48" s="305"/>
      <c r="Y48" s="298"/>
      <c r="Z48" s="298"/>
      <c r="AA48" s="298"/>
      <c r="AB48" s="299"/>
    </row>
    <row r="49" spans="1:28" ht="24.9" customHeight="1" x14ac:dyDescent="0.4">
      <c r="A49" s="118"/>
      <c r="B49" s="117"/>
      <c r="C49" s="118"/>
      <c r="D49" s="118"/>
      <c r="E49" s="117"/>
      <c r="F49" s="117"/>
      <c r="G49" s="118"/>
      <c r="H49" s="118"/>
      <c r="I49" s="118"/>
      <c r="J49" s="118"/>
      <c r="K49" s="118"/>
      <c r="L49" s="118"/>
      <c r="M49" s="118"/>
      <c r="N49" s="118"/>
      <c r="O49" s="118"/>
      <c r="P49" s="298"/>
      <c r="Q49" s="306"/>
      <c r="R49" s="307"/>
      <c r="S49" s="306"/>
      <c r="T49" s="307"/>
      <c r="U49" s="308"/>
      <c r="V49" s="305"/>
      <c r="W49" s="305"/>
      <c r="X49" s="305"/>
      <c r="Y49" s="298"/>
      <c r="Z49" s="298"/>
      <c r="AA49" s="298"/>
      <c r="AB49" s="299"/>
    </row>
    <row r="50" spans="1:28" ht="24.9" customHeight="1" x14ac:dyDescent="0.4">
      <c r="A50" s="118"/>
      <c r="B50" s="118"/>
      <c r="C50" s="118"/>
      <c r="D50" s="118"/>
      <c r="E50" s="117"/>
      <c r="F50" s="117"/>
      <c r="G50" s="118"/>
      <c r="H50" s="118"/>
      <c r="I50" s="118"/>
      <c r="J50" s="118"/>
      <c r="K50" s="118"/>
      <c r="L50" s="118"/>
      <c r="M50" s="118"/>
      <c r="N50" s="118"/>
      <c r="O50" s="118"/>
      <c r="P50" s="298"/>
      <c r="Q50" s="306"/>
      <c r="R50" s="307"/>
      <c r="S50" s="306"/>
      <c r="T50" s="307"/>
      <c r="U50" s="308"/>
      <c r="V50" s="305"/>
      <c r="W50" s="305"/>
      <c r="X50" s="305"/>
      <c r="Y50" s="298"/>
      <c r="Z50" s="298"/>
      <c r="AA50" s="298"/>
      <c r="AB50" s="299"/>
    </row>
    <row r="51" spans="1:28" ht="24.9" customHeight="1" x14ac:dyDescent="0.4">
      <c r="A51" s="118"/>
      <c r="B51" s="118"/>
      <c r="C51" s="118"/>
      <c r="D51" s="118"/>
      <c r="E51" s="117"/>
      <c r="F51" s="117"/>
      <c r="G51" s="118"/>
      <c r="H51" s="118"/>
      <c r="I51" s="118"/>
      <c r="J51" s="118"/>
      <c r="K51" s="118"/>
      <c r="L51" s="118"/>
      <c r="M51" s="118"/>
      <c r="N51" s="118"/>
      <c r="O51" s="118"/>
      <c r="P51" s="298"/>
      <c r="Q51" s="306"/>
      <c r="R51" s="307"/>
      <c r="S51" s="306"/>
      <c r="T51" s="307"/>
      <c r="U51" s="308"/>
      <c r="V51" s="305"/>
      <c r="W51" s="305"/>
      <c r="X51" s="305"/>
      <c r="Y51" s="298"/>
      <c r="Z51" s="298"/>
      <c r="AA51" s="298"/>
      <c r="AB51" s="299"/>
    </row>
    <row r="52" spans="1:28" ht="24.9" customHeight="1" x14ac:dyDescent="0.4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298"/>
      <c r="Q52" s="306"/>
      <c r="R52" s="307"/>
      <c r="S52" s="306"/>
      <c r="T52" s="307"/>
      <c r="U52" s="308"/>
      <c r="V52" s="305"/>
      <c r="W52" s="305"/>
      <c r="X52" s="305"/>
      <c r="Y52" s="298"/>
      <c r="Z52" s="298"/>
      <c r="AA52" s="298"/>
      <c r="AB52" s="299"/>
    </row>
    <row r="53" spans="1:28" ht="24.9" customHeight="1" x14ac:dyDescent="0.3">
      <c r="A53" s="298"/>
      <c r="B53" s="298"/>
      <c r="C53" s="298"/>
      <c r="D53" s="298"/>
      <c r="E53" s="298"/>
      <c r="F53" s="298"/>
      <c r="G53" s="309"/>
      <c r="H53" s="309"/>
      <c r="I53" s="298"/>
      <c r="J53" s="298"/>
      <c r="K53" s="298"/>
      <c r="L53" s="298"/>
      <c r="M53" s="298"/>
      <c r="N53" s="298"/>
      <c r="O53" s="298"/>
      <c r="P53" s="298"/>
      <c r="Q53" s="306"/>
      <c r="R53" s="307"/>
      <c r="S53" s="306"/>
      <c r="T53" s="307"/>
      <c r="U53" s="308"/>
      <c r="V53" s="305"/>
      <c r="W53" s="305"/>
      <c r="X53" s="305"/>
      <c r="Y53" s="298"/>
      <c r="Z53" s="298"/>
      <c r="AA53" s="298"/>
      <c r="AB53" s="299"/>
    </row>
    <row r="54" spans="1:28" ht="24.9" customHeight="1" x14ac:dyDescent="0.3">
      <c r="A54" s="299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310"/>
      <c r="R54" s="311"/>
      <c r="S54" s="310"/>
      <c r="T54" s="311"/>
      <c r="U54" s="312"/>
      <c r="V54" s="313"/>
      <c r="W54" s="313"/>
      <c r="X54" s="313"/>
      <c r="Y54" s="299"/>
      <c r="Z54" s="299"/>
      <c r="AA54" s="299"/>
      <c r="AB54" s="299"/>
    </row>
    <row r="55" spans="1:28" ht="24.9" customHeight="1" x14ac:dyDescent="0.3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310"/>
      <c r="R55" s="311"/>
      <c r="S55" s="310"/>
      <c r="T55" s="311"/>
      <c r="U55" s="312"/>
      <c r="V55" s="313"/>
      <c r="W55" s="313"/>
      <c r="X55" s="313"/>
      <c r="Y55" s="299"/>
      <c r="Z55" s="299"/>
      <c r="AA55" s="299"/>
      <c r="AB55" s="299"/>
    </row>
    <row r="56" spans="1:28" ht="24.9" customHeight="1" x14ac:dyDescent="0.3">
      <c r="A56" s="299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310"/>
      <c r="R56" s="311"/>
      <c r="S56" s="310"/>
      <c r="T56" s="311"/>
      <c r="U56" s="312"/>
      <c r="V56" s="313"/>
      <c r="W56" s="313"/>
      <c r="X56" s="313"/>
      <c r="Y56" s="299"/>
      <c r="Z56" s="299"/>
      <c r="AA56" s="299"/>
      <c r="AB56" s="299"/>
    </row>
    <row r="57" spans="1:28" ht="24.9" customHeight="1" x14ac:dyDescent="0.3">
      <c r="Q57" s="275"/>
      <c r="R57" s="2"/>
      <c r="S57" s="275"/>
      <c r="T57" s="2"/>
      <c r="U57" s="24"/>
      <c r="V57" s="1"/>
      <c r="W57" s="1"/>
      <c r="X57" s="1"/>
    </row>
    <row r="58" spans="1:28" ht="24.9" customHeight="1" x14ac:dyDescent="0.3">
      <c r="Q58" s="275"/>
      <c r="R58" s="2"/>
      <c r="S58" s="275"/>
      <c r="T58" s="2"/>
      <c r="U58" s="24"/>
      <c r="V58" s="1"/>
      <c r="W58" s="1"/>
      <c r="X58" s="1"/>
    </row>
    <row r="59" spans="1:28" ht="24.9" customHeight="1" x14ac:dyDescent="0.3">
      <c r="Q59" s="275"/>
      <c r="R59" s="2"/>
      <c r="S59" s="275"/>
      <c r="T59" s="2"/>
      <c r="U59" s="24"/>
      <c r="V59" s="1"/>
      <c r="W59" s="1"/>
      <c r="X59" s="1"/>
    </row>
    <row r="60" spans="1:28" ht="24.9" customHeight="1" x14ac:dyDescent="0.3">
      <c r="Q60" s="1"/>
      <c r="R60" s="271"/>
      <c r="S60" s="1"/>
      <c r="T60" s="1"/>
      <c r="U60" s="1"/>
      <c r="V60" s="1"/>
      <c r="W60" s="1"/>
      <c r="X60" s="1"/>
    </row>
    <row r="61" spans="1:28" ht="24.9" customHeight="1" x14ac:dyDescent="0.3">
      <c r="Q61" s="1"/>
      <c r="R61" s="1"/>
      <c r="S61" s="1"/>
      <c r="T61" s="1"/>
      <c r="U61" s="1"/>
      <c r="V61" s="1"/>
      <c r="W61" s="1"/>
      <c r="X61" s="1"/>
    </row>
    <row r="62" spans="1:28" ht="24.9" customHeight="1" x14ac:dyDescent="0.2"/>
    <row r="63" spans="1:28" ht="24.9" customHeight="1" x14ac:dyDescent="0.2"/>
    <row r="64" spans="1:28" ht="24.9" customHeight="1" x14ac:dyDescent="0.2"/>
    <row r="65" ht="24.9" customHeight="1" x14ac:dyDescent="0.2"/>
    <row r="66" ht="24.9" customHeight="1" x14ac:dyDescent="0.2"/>
    <row r="67" ht="24.9" customHeight="1" x14ac:dyDescent="0.2"/>
    <row r="68" ht="24.9" customHeight="1" x14ac:dyDescent="0.2"/>
  </sheetData>
  <mergeCells count="4">
    <mergeCell ref="H3:I3"/>
    <mergeCell ref="E22:H22"/>
    <mergeCell ref="I22:J22"/>
    <mergeCell ref="E27:F27"/>
  </mergeCells>
  <pageMargins left="0.75" right="0.75" top="1" bottom="1" header="0.5" footer="0.5"/>
  <pageSetup scale="2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119"/>
  <sheetViews>
    <sheetView showGridLines="0" zoomScale="70" zoomScaleNormal="70" workbookViewId="0">
      <selection activeCell="H23" sqref="H23"/>
    </sheetView>
  </sheetViews>
  <sheetFormatPr defaultColWidth="11" defaultRowHeight="22.2" x14ac:dyDescent="0.35"/>
  <cols>
    <col min="1" max="13" width="18.6328125" style="26" customWidth="1"/>
    <col min="14" max="15" width="18.6328125" customWidth="1"/>
  </cols>
  <sheetData>
    <row r="1" spans="1:15" ht="20.399999999999999" thickBot="1" x14ac:dyDescent="0.3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thickTop="1" thickBot="1" x14ac:dyDescent="0.35">
      <c r="A2" s="1"/>
      <c r="B2" s="1"/>
      <c r="C2" s="1"/>
      <c r="D2" s="1"/>
      <c r="E2" s="17" t="s">
        <v>57</v>
      </c>
      <c r="F2" s="18">
        <v>760</v>
      </c>
      <c r="G2" s="1"/>
      <c r="H2" s="5" t="s">
        <v>5</v>
      </c>
      <c r="I2" s="6"/>
      <c r="J2" s="6"/>
      <c r="K2" s="7"/>
      <c r="L2" s="1"/>
      <c r="M2" s="1"/>
      <c r="N2" s="1"/>
      <c r="O2" s="1"/>
    </row>
    <row r="3" spans="1:15" ht="25.2" thickTop="1" x14ac:dyDescent="0.5">
      <c r="A3" s="21" t="s">
        <v>3</v>
      </c>
      <c r="B3" s="21" t="s">
        <v>4</v>
      </c>
      <c r="C3" s="21" t="s">
        <v>58</v>
      </c>
      <c r="D3" s="21" t="s">
        <v>59</v>
      </c>
      <c r="E3" s="21" t="s">
        <v>60</v>
      </c>
      <c r="F3" s="21" t="s">
        <v>11</v>
      </c>
      <c r="G3" s="1"/>
      <c r="H3" s="8"/>
      <c r="I3" s="9" t="s">
        <v>8</v>
      </c>
      <c r="J3" s="9" t="s">
        <v>9</v>
      </c>
      <c r="K3" s="10" t="s">
        <v>10</v>
      </c>
      <c r="L3" s="1"/>
      <c r="M3" s="1"/>
      <c r="N3" s="1"/>
      <c r="O3" s="1"/>
    </row>
    <row r="4" spans="1:15" ht="22.8" thickBot="1" x14ac:dyDescent="0.35">
      <c r="A4" s="22" t="s">
        <v>61</v>
      </c>
      <c r="B4" s="22" t="s">
        <v>61</v>
      </c>
      <c r="C4" s="23" t="s">
        <v>62</v>
      </c>
      <c r="D4" s="23" t="s">
        <v>63</v>
      </c>
      <c r="E4" s="23" t="s">
        <v>63</v>
      </c>
      <c r="F4" s="23" t="s">
        <v>63</v>
      </c>
      <c r="G4" s="1"/>
      <c r="H4" s="8" t="s">
        <v>6</v>
      </c>
      <c r="I4" s="9">
        <v>6.8927199999999997</v>
      </c>
      <c r="J4" s="9">
        <v>1203.5309999999999</v>
      </c>
      <c r="K4" s="10">
        <v>219.88800000000001</v>
      </c>
      <c r="L4" s="1"/>
      <c r="M4" s="1"/>
      <c r="N4" s="1"/>
      <c r="O4" s="1"/>
    </row>
    <row r="5" spans="1:15" ht="21" thickTop="1" thickBot="1" x14ac:dyDescent="0.35">
      <c r="A5" s="4">
        <v>0</v>
      </c>
      <c r="B5" s="2">
        <f t="shared" ref="B5:B68" si="0">+A5*D5/760</f>
        <v>0</v>
      </c>
      <c r="C5" s="24">
        <v>110.62215803356158</v>
      </c>
      <c r="D5" s="3">
        <f>10^($I$4-$J$4/(C5+$K$4))</f>
        <v>1783.5520111062319</v>
      </c>
      <c r="E5" s="3">
        <f>10^($I$5-$J$5/($K$5+C5))</f>
        <v>759.9999383114739</v>
      </c>
      <c r="F5" s="25">
        <f>$F$2-A5*D5-(1-A5)*E5</f>
        <v>6.1688526102443575E-5</v>
      </c>
      <c r="G5" s="1"/>
      <c r="H5" s="11" t="s">
        <v>7</v>
      </c>
      <c r="I5" s="12">
        <v>6.9580500000000001</v>
      </c>
      <c r="J5" s="12">
        <v>1346.7729999999999</v>
      </c>
      <c r="K5" s="13">
        <v>219.69300000000001</v>
      </c>
      <c r="L5" s="1"/>
      <c r="M5" s="1"/>
      <c r="N5" s="1"/>
      <c r="O5" s="1"/>
    </row>
    <row r="6" spans="1:15" ht="21" thickTop="1" thickBot="1" x14ac:dyDescent="0.35">
      <c r="A6" s="4">
        <v>0.01</v>
      </c>
      <c r="B6" s="2">
        <f t="shared" si="0"/>
        <v>2.3188539647312698E-2</v>
      </c>
      <c r="C6" s="24">
        <v>110.15096938668002</v>
      </c>
      <c r="D6" s="3">
        <f>10^($I$4-$J$4/(C6+$K$4))</f>
        <v>1762.3290131957649</v>
      </c>
      <c r="E6" s="3">
        <f>10^($I$5-$J$5/($K$5+C6))</f>
        <v>749.8754645131736</v>
      </c>
      <c r="F6" s="25">
        <f>$F$2-A6*D6-(1-A6)*E6</f>
        <v>0</v>
      </c>
      <c r="G6" s="1"/>
      <c r="H6" s="1"/>
      <c r="I6" s="1"/>
      <c r="J6" s="1"/>
      <c r="K6" s="1"/>
      <c r="L6" s="1"/>
      <c r="M6" s="1"/>
      <c r="N6" s="1"/>
      <c r="O6" s="1"/>
    </row>
    <row r="7" spans="1:15" ht="20.399999999999999" thickTop="1" x14ac:dyDescent="0.3">
      <c r="A7" s="4">
        <v>0.02</v>
      </c>
      <c r="B7" s="2">
        <f t="shared" si="0"/>
        <v>4.5829806485364472E-2</v>
      </c>
      <c r="C7" s="24">
        <v>109.68504059995139</v>
      </c>
      <c r="D7" s="3">
        <f t="shared" ref="D7:D70" si="1">10^($I$4-$J$4/(C7+$K$4))</f>
        <v>1741.5326464438499</v>
      </c>
      <c r="E7" s="3">
        <f t="shared" ref="E7:E70" si="2">10^($I$5-$J$5/($K$5+C7))</f>
        <v>739.96872150114552</v>
      </c>
      <c r="F7" s="25">
        <f t="shared" ref="F7:F70" si="3">$F$2-A7*D7-(1-A7)*E7</f>
        <v>0</v>
      </c>
      <c r="G7" s="1"/>
      <c r="H7" s="5" t="s">
        <v>47</v>
      </c>
      <c r="I7" s="6" t="s">
        <v>48</v>
      </c>
      <c r="J7" s="6"/>
      <c r="K7" s="6"/>
      <c r="L7" s="6"/>
      <c r="M7" s="7"/>
      <c r="N7" s="1"/>
      <c r="O7" s="1"/>
    </row>
    <row r="8" spans="1:15" ht="19.8" x14ac:dyDescent="0.3">
      <c r="A8" s="4">
        <v>0.03</v>
      </c>
      <c r="B8" s="2">
        <f t="shared" si="0"/>
        <v>6.7940198739404878E-2</v>
      </c>
      <c r="C8" s="24">
        <v>109.22428647736746</v>
      </c>
      <c r="D8" s="3">
        <f t="shared" si="1"/>
        <v>1721.151701398257</v>
      </c>
      <c r="E8" s="3">
        <f t="shared" si="2"/>
        <v>730.27365871964162</v>
      </c>
      <c r="F8" s="25">
        <f t="shared" si="3"/>
        <v>0</v>
      </c>
      <c r="G8" s="1"/>
      <c r="H8" s="8"/>
      <c r="I8" s="19" t="s">
        <v>49</v>
      </c>
      <c r="J8" s="19"/>
      <c r="K8" s="19"/>
      <c r="L8" s="19"/>
      <c r="M8" s="27"/>
      <c r="N8" s="1"/>
      <c r="O8" s="1"/>
    </row>
    <row r="9" spans="1:15" ht="24.6" x14ac:dyDescent="0.5">
      <c r="A9" s="4">
        <v>0.04</v>
      </c>
      <c r="B9" s="2">
        <f t="shared" si="0"/>
        <v>8.9535536659826734E-2</v>
      </c>
      <c r="C9" s="24">
        <v>108.76862065606147</v>
      </c>
      <c r="D9" s="3">
        <f t="shared" si="1"/>
        <v>1701.175196536708</v>
      </c>
      <c r="E9" s="3">
        <f t="shared" si="2"/>
        <v>720.7843668109698</v>
      </c>
      <c r="F9" s="25">
        <f t="shared" si="3"/>
        <v>0</v>
      </c>
      <c r="G9" s="1"/>
      <c r="H9" s="8"/>
      <c r="I9" s="19" t="s">
        <v>50</v>
      </c>
      <c r="J9" s="19"/>
      <c r="K9" s="19"/>
      <c r="L9" s="19"/>
      <c r="M9" s="27"/>
      <c r="N9" s="1"/>
      <c r="O9" s="1"/>
    </row>
    <row r="10" spans="1:15" ht="19.8" x14ac:dyDescent="0.3">
      <c r="A10" s="4">
        <v>0.05</v>
      </c>
      <c r="B10" s="2">
        <f t="shared" si="0"/>
        <v>0.11063108520264195</v>
      </c>
      <c r="C10" s="24">
        <v>108.31795843488223</v>
      </c>
      <c r="D10" s="3">
        <f t="shared" si="1"/>
        <v>1681.5924950801575</v>
      </c>
      <c r="E10" s="3">
        <f t="shared" si="2"/>
        <v>711.49513183788679</v>
      </c>
      <c r="F10" s="25">
        <f t="shared" si="3"/>
        <v>0</v>
      </c>
      <c r="G10" s="1"/>
      <c r="H10" s="8"/>
      <c r="I10" s="19" t="s">
        <v>51</v>
      </c>
      <c r="J10" s="19"/>
      <c r="K10" s="19"/>
      <c r="L10" s="19"/>
      <c r="M10" s="27"/>
      <c r="N10" s="1"/>
      <c r="O10" s="1"/>
    </row>
    <row r="11" spans="1:15" ht="19.8" x14ac:dyDescent="0.3">
      <c r="A11" s="4">
        <v>0.06</v>
      </c>
      <c r="B11" s="2">
        <f t="shared" si="0"/>
        <v>0.13124157576548001</v>
      </c>
      <c r="C11" s="24">
        <v>107.87221674690446</v>
      </c>
      <c r="D11" s="3">
        <f t="shared" si="1"/>
        <v>1662.3932930294134</v>
      </c>
      <c r="E11" s="3">
        <f t="shared" si="2"/>
        <v>702.40042810450529</v>
      </c>
      <c r="F11" s="25">
        <f t="shared" si="3"/>
        <v>0</v>
      </c>
      <c r="G11" s="1"/>
      <c r="H11" s="8"/>
      <c r="I11" s="19" t="s">
        <v>52</v>
      </c>
      <c r="J11" s="19"/>
      <c r="K11" s="19"/>
      <c r="L11" s="19"/>
      <c r="M11" s="27"/>
      <c r="N11" s="1"/>
      <c r="O11" s="1"/>
    </row>
    <row r="12" spans="1:15" ht="24.6" x14ac:dyDescent="0.5">
      <c r="A12" s="4">
        <v>7.0000000000000007E-2</v>
      </c>
      <c r="B12" s="2">
        <f t="shared" si="0"/>
        <v>0.1513812270185394</v>
      </c>
      <c r="C12" s="24">
        <v>107.43131413180475</v>
      </c>
      <c r="D12" s="3">
        <f t="shared" si="1"/>
        <v>1643.5676076298562</v>
      </c>
      <c r="E12" s="3">
        <f t="shared" si="2"/>
        <v>693.4949112536666</v>
      </c>
      <c r="F12" s="25">
        <f t="shared" si="3"/>
        <v>0</v>
      </c>
      <c r="G12" s="1"/>
      <c r="H12" s="8"/>
      <c r="I12" s="19" t="s">
        <v>53</v>
      </c>
      <c r="J12" s="19"/>
      <c r="K12" s="19"/>
      <c r="L12" s="19"/>
      <c r="M12" s="27"/>
      <c r="N12" s="1"/>
      <c r="O12" s="1"/>
    </row>
    <row r="13" spans="1:15" ht="19.8" x14ac:dyDescent="0.3">
      <c r="A13" s="4">
        <v>0.08</v>
      </c>
      <c r="B13" s="2">
        <f t="shared" si="0"/>
        <v>0.17106376486842906</v>
      </c>
      <c r="C13" s="24">
        <v>106.99517070816006</v>
      </c>
      <c r="D13" s="3">
        <f t="shared" si="1"/>
        <v>1625.1057662500759</v>
      </c>
      <c r="E13" s="3">
        <f t="shared" si="2"/>
        <v>684.77341163042888</v>
      </c>
      <c r="F13" s="25">
        <f t="shared" si="3"/>
        <v>0</v>
      </c>
      <c r="G13" s="1"/>
      <c r="H13" s="8"/>
      <c r="I13" s="19" t="s">
        <v>54</v>
      </c>
      <c r="J13" s="19"/>
      <c r="K13" s="19"/>
      <c r="L13" s="19"/>
      <c r="M13" s="27"/>
      <c r="N13" s="1"/>
      <c r="O13" s="1"/>
    </row>
    <row r="14" spans="1:15" ht="24.6" x14ac:dyDescent="0.5">
      <c r="A14" s="4">
        <v>0.09</v>
      </c>
      <c r="B14" s="2">
        <f t="shared" si="0"/>
        <v>0.19030244159139262</v>
      </c>
      <c r="C14" s="24">
        <v>106.56370814572325</v>
      </c>
      <c r="D14" s="3">
        <f t="shared" si="1"/>
        <v>1606.9983956606488</v>
      </c>
      <c r="E14" s="3">
        <f t="shared" si="2"/>
        <v>676.23092790169312</v>
      </c>
      <c r="F14" s="25">
        <f t="shared" si="3"/>
        <v>0</v>
      </c>
      <c r="G14" s="1"/>
      <c r="H14" s="8"/>
      <c r="I14" s="19" t="s">
        <v>55</v>
      </c>
      <c r="J14" s="19"/>
      <c r="K14" s="19"/>
      <c r="L14" s="19"/>
      <c r="M14" s="27"/>
      <c r="N14" s="1"/>
      <c r="O14" s="1"/>
    </row>
    <row r="15" spans="1:15" ht="20.399999999999999" thickBot="1" x14ac:dyDescent="0.35">
      <c r="A15" s="4">
        <v>0.1</v>
      </c>
      <c r="B15" s="2">
        <f t="shared" si="0"/>
        <v>0.20911005417098408</v>
      </c>
      <c r="C15" s="24">
        <v>106.13684963772371</v>
      </c>
      <c r="D15" s="3">
        <f t="shared" si="1"/>
        <v>1589.2364116994788</v>
      </c>
      <c r="E15" s="3">
        <f t="shared" si="2"/>
        <v>667.86262092228083</v>
      </c>
      <c r="F15" s="25">
        <f t="shared" si="3"/>
        <v>0</v>
      </c>
      <c r="G15" s="1"/>
      <c r="H15" s="11"/>
      <c r="I15" s="20" t="s">
        <v>64</v>
      </c>
      <c r="J15" s="20"/>
      <c r="K15" s="20"/>
      <c r="L15" s="20"/>
      <c r="M15" s="28"/>
      <c r="N15" s="1"/>
      <c r="O15" s="1"/>
    </row>
    <row r="16" spans="1:15" ht="20.399999999999999" thickTop="1" x14ac:dyDescent="0.3">
      <c r="A16" s="4">
        <v>0.11</v>
      </c>
      <c r="B16" s="2">
        <f t="shared" si="0"/>
        <v>0.22749896187389121</v>
      </c>
      <c r="C16" s="24">
        <v>105.71451987323739</v>
      </c>
      <c r="D16" s="3">
        <f t="shared" si="1"/>
        <v>1571.8110093105211</v>
      </c>
      <c r="E16" s="3">
        <f t="shared" si="2"/>
        <v>659.66380783802617</v>
      </c>
      <c r="F16" s="25">
        <f t="shared" si="3"/>
        <v>0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9.8" x14ac:dyDescent="0.3">
      <c r="A17" s="4">
        <v>0.12</v>
      </c>
      <c r="B17" s="2">
        <f t="shared" si="0"/>
        <v>0.2454811030962579</v>
      </c>
      <c r="C17" s="24">
        <v>105.29664500966716</v>
      </c>
      <c r="D17" s="3">
        <f t="shared" si="1"/>
        <v>1554.7136529429667</v>
      </c>
      <c r="E17" s="3">
        <f t="shared" si="2"/>
        <v>651.62995641686882</v>
      </c>
      <c r="F17" s="25">
        <f t="shared" si="3"/>
        <v>0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9.8" x14ac:dyDescent="0.3">
      <c r="A18" s="4">
        <v>0.13</v>
      </c>
      <c r="B18" s="2">
        <f t="shared" si="0"/>
        <v>0.26306801151155551</v>
      </c>
      <c r="C18" s="24">
        <v>104.88315264536998</v>
      </c>
      <c r="D18" s="3">
        <f t="shared" si="1"/>
        <v>1537.9360672983246</v>
      </c>
      <c r="E18" s="3">
        <f t="shared" si="2"/>
        <v>643.75667959910106</v>
      </c>
      <c r="F18" s="25">
        <f t="shared" si="3"/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9.8" x14ac:dyDescent="0.3">
      <c r="A19" s="4">
        <v>0.14000000000000001</v>
      </c>
      <c r="B19" s="2">
        <f t="shared" si="0"/>
        <v>0.28027083154980181</v>
      </c>
      <c r="C19" s="24">
        <v>104.4739717924634</v>
      </c>
      <c r="D19" s="3">
        <f t="shared" si="1"/>
        <v>1521.4702284132097</v>
      </c>
      <c r="E19" s="3">
        <f t="shared" si="2"/>
        <v>636.03973025831408</v>
      </c>
      <c r="F19" s="25">
        <f t="shared" si="3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9.8" x14ac:dyDescent="0.3">
      <c r="A20" s="4">
        <v>0.15</v>
      </c>
      <c r="B20" s="2">
        <f t="shared" si="0"/>
        <v>0.29710033323669066</v>
      </c>
      <c r="C20" s="24">
        <v>104.06903284984273</v>
      </c>
      <c r="D20" s="3">
        <f t="shared" si="1"/>
        <v>1505.3083550658994</v>
      </c>
      <c r="E20" s="3">
        <f t="shared" si="2"/>
        <v>628.47499616484083</v>
      </c>
      <c r="F20" s="25">
        <f t="shared" si="3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9.8" x14ac:dyDescent="0.3">
      <c r="A21" s="4">
        <v>0.16</v>
      </c>
      <c r="B21" s="2">
        <f t="shared" si="0"/>
        <v>0.31356692642003381</v>
      </c>
      <c r="C21" s="24">
        <v>103.66826757643447</v>
      </c>
      <c r="D21" s="3">
        <f t="shared" si="1"/>
        <v>1489.4429004951605</v>
      </c>
      <c r="E21" s="3">
        <f t="shared" si="2"/>
        <v>621.05849514377906</v>
      </c>
      <c r="F21" s="25">
        <f t="shared" si="3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9.8" x14ac:dyDescent="0.3">
      <c r="A22" s="4">
        <v>0.17</v>
      </c>
      <c r="B22" s="2">
        <f t="shared" si="0"/>
        <v>0.32968067440975624</v>
      </c>
      <c r="C22" s="24">
        <v>103.27160906471067</v>
      </c>
      <c r="D22" s="3">
        <f t="shared" si="1"/>
        <v>1473.8665444200865</v>
      </c>
      <c r="E22" s="3">
        <f t="shared" si="2"/>
        <v>613.78637041998229</v>
      </c>
      <c r="F22" s="25">
        <f t="shared" si="3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9.8" x14ac:dyDescent="0.3">
      <c r="A23" s="4">
        <v>0.18</v>
      </c>
      <c r="B23" s="2">
        <f t="shared" si="0"/>
        <v>0.34545130705660959</v>
      </c>
      <c r="C23" s="24">
        <v>102.87899171448595</v>
      </c>
      <c r="D23" s="3">
        <f t="shared" si="1"/>
        <v>1458.5721853501295</v>
      </c>
      <c r="E23" s="3">
        <f t="shared" si="2"/>
        <v>606.6548861426553</v>
      </c>
      <c r="F23" s="25">
        <f t="shared" si="3"/>
        <v>-6.8212102632969618E-13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9.8" x14ac:dyDescent="0.3">
      <c r="A24" s="4">
        <v>0.19</v>
      </c>
      <c r="B24" s="2">
        <f t="shared" si="0"/>
        <v>0.36088823329369307</v>
      </c>
      <c r="C24" s="24">
        <v>102.49035120701591</v>
      </c>
      <c r="D24" s="3">
        <f t="shared" si="1"/>
        <v>1443.5529331747723</v>
      </c>
      <c r="E24" s="3">
        <f t="shared" si="2"/>
        <v>599.66042308246074</v>
      </c>
      <c r="F24" s="25">
        <f t="shared" si="3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9.8" x14ac:dyDescent="0.3">
      <c r="A25" s="4">
        <v>0.2</v>
      </c>
      <c r="B25" s="2">
        <f t="shared" si="0"/>
        <v>0.37600055316384068</v>
      </c>
      <c r="C25" s="24">
        <v>102.10562447941372</v>
      </c>
      <c r="D25" s="3">
        <f t="shared" si="1"/>
        <v>1428.8021020225947</v>
      </c>
      <c r="E25" s="3">
        <f t="shared" si="2"/>
        <v>592.79947449435144</v>
      </c>
      <c r="F25" s="25">
        <f t="shared" si="3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9.8" x14ac:dyDescent="0.3">
      <c r="A26" s="4">
        <v>0.21</v>
      </c>
      <c r="B26" s="2">
        <f t="shared" si="0"/>
        <v>0.39079706935498648</v>
      </c>
      <c r="C26" s="24">
        <v>101.72474969939994</v>
      </c>
      <c r="D26" s="3">
        <f t="shared" si="1"/>
        <v>1414.3132033799511</v>
      </c>
      <c r="E26" s="3">
        <f t="shared" si="2"/>
        <v>586.06864213950655</v>
      </c>
      <c r="F26" s="25">
        <f t="shared" si="3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9.8" x14ac:dyDescent="0.3">
      <c r="A27" s="4">
        <v>0.22</v>
      </c>
      <c r="B27" s="2">
        <f t="shared" si="0"/>
        <v>0.40528629826463414</v>
      </c>
      <c r="C27" s="24">
        <v>101.34766624039833</v>
      </c>
      <c r="D27" s="3">
        <f t="shared" si="1"/>
        <v>1400.0799394596452</v>
      </c>
      <c r="E27" s="3">
        <f t="shared" si="2"/>
        <v>579.46463246010012</v>
      </c>
      <c r="F27" s="25">
        <f t="shared" si="3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9.8" x14ac:dyDescent="0.3">
      <c r="A28" s="4">
        <v>0.23</v>
      </c>
      <c r="B28" s="2">
        <f t="shared" si="0"/>
        <v>0.41947648061366344</v>
      </c>
      <c r="C28" s="24">
        <v>100.97431465698807</v>
      </c>
      <c r="D28" s="3">
        <f t="shared" si="1"/>
        <v>1386.0961968103661</v>
      </c>
      <c r="E28" s="3">
        <f t="shared" si="2"/>
        <v>572.98425290080047</v>
      </c>
      <c r="F28" s="25">
        <f t="shared" si="3"/>
        <v>-5.6843418860808015E-13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9.8" x14ac:dyDescent="0.3">
      <c r="A29" s="4">
        <v>0.24</v>
      </c>
      <c r="B29" s="2">
        <f t="shared" si="0"/>
        <v>0.43337559162885247</v>
      </c>
      <c r="C29" s="24">
        <v>100.60463666072333</v>
      </c>
      <c r="D29" s="3">
        <f t="shared" si="1"/>
        <v>1372.356040158033</v>
      </c>
      <c r="E29" s="3">
        <f t="shared" si="2"/>
        <v>566.62440837114764</v>
      </c>
      <c r="F29" s="25">
        <f t="shared" si="3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9.8" x14ac:dyDescent="0.3">
      <c r="A30" s="4">
        <v>0.25</v>
      </c>
      <c r="B30" s="2">
        <f t="shared" si="0"/>
        <v>0.44699135081261543</v>
      </c>
      <c r="C30" s="24">
        <v>100.23857509632624</v>
      </c>
      <c r="D30" s="3">
        <f t="shared" si="1"/>
        <v>1358.853706470351</v>
      </c>
      <c r="E30" s="3">
        <f t="shared" si="2"/>
        <v>560.38209784321657</v>
      </c>
      <c r="F30" s="25">
        <f t="shared" si="3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9.8" x14ac:dyDescent="0.3">
      <c r="A31" s="4">
        <v>0.26</v>
      </c>
      <c r="B31" s="2">
        <f t="shared" si="0"/>
        <v>0.46033123131768544</v>
      </c>
      <c r="C31" s="24">
        <v>99.876073918260985</v>
      </c>
      <c r="D31" s="3">
        <f t="shared" si="1"/>
        <v>1345.5835992363113</v>
      </c>
      <c r="E31" s="3">
        <f t="shared" si="2"/>
        <v>554.25441107913434</v>
      </c>
      <c r="F31" s="25">
        <f t="shared" si="3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9.8" x14ac:dyDescent="0.3">
      <c r="A32" s="4">
        <v>0.27</v>
      </c>
      <c r="B32" s="2">
        <f t="shared" si="0"/>
        <v>0.47340246894369109</v>
      </c>
      <c r="C32" s="24">
        <v>99.517078167694052</v>
      </c>
      <c r="D32" s="3">
        <f t="shared" si="1"/>
        <v>1332.540282952612</v>
      </c>
      <c r="E32" s="3">
        <f t="shared" si="2"/>
        <v>548.23852548328045</v>
      </c>
      <c r="F32" s="25">
        <f t="shared" si="3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9.8" x14ac:dyDescent="0.3">
      <c r="A33" s="4">
        <v>0.28000000000000003</v>
      </c>
      <c r="B33" s="2">
        <f t="shared" si="0"/>
        <v>0.48621207077182432</v>
      </c>
      <c r="C33" s="24">
        <v>99.161533949844568</v>
      </c>
      <c r="D33" s="3">
        <f t="shared" si="1"/>
        <v>1319.7184778092374</v>
      </c>
      <c r="E33" s="3">
        <f t="shared" si="2"/>
        <v>542.33170307418527</v>
      </c>
      <c r="F33" s="25">
        <f t="shared" si="3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9.8" x14ac:dyDescent="0.3">
      <c r="A34" s="4">
        <v>0.28999999999999998</v>
      </c>
      <c r="B34" s="2">
        <f t="shared" si="0"/>
        <v>0.49876682345309936</v>
      </c>
      <c r="C34" s="24">
        <v>98.809388411727511</v>
      </c>
      <c r="D34" s="3">
        <f t="shared" si="1"/>
        <v>1307.1130545667431</v>
      </c>
      <c r="E34" s="3">
        <f t="shared" si="2"/>
        <v>536.53128757133027</v>
      </c>
      <c r="F34" s="25">
        <f t="shared" si="3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9.8" x14ac:dyDescent="0.3">
      <c r="A35" s="4">
        <v>0.3</v>
      </c>
      <c r="B35" s="2">
        <f t="shared" si="0"/>
        <v>0.51107330116502048</v>
      </c>
      <c r="C35" s="24">
        <v>98.46058972029229</v>
      </c>
      <c r="D35" s="3">
        <f t="shared" si="1"/>
        <v>1294.719029618052</v>
      </c>
      <c r="E35" s="3">
        <f t="shared" si="2"/>
        <v>530.83470159226397</v>
      </c>
      <c r="F35" s="25">
        <f t="shared" si="3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9.8" x14ac:dyDescent="0.3">
      <c r="A36" s="4">
        <v>0.31</v>
      </c>
      <c r="B36" s="2">
        <f t="shared" si="0"/>
        <v>0.52313787325082395</v>
      </c>
      <c r="C36" s="24">
        <v>98.115087040957476</v>
      </c>
      <c r="D36" s="3">
        <f t="shared" si="1"/>
        <v>1282.5315602278263</v>
      </c>
      <c r="E36" s="3">
        <f t="shared" si="2"/>
        <v>525.23944395561455</v>
      </c>
      <c r="F36" s="25">
        <f t="shared" si="3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9.8" x14ac:dyDescent="0.3">
      <c r="A37" s="4">
        <v>0.32</v>
      </c>
      <c r="B37" s="2">
        <f t="shared" si="0"/>
        <v>0.53496671155483899</v>
      </c>
      <c r="C37" s="24">
        <v>97.7728305165422</v>
      </c>
      <c r="D37" s="3">
        <f t="shared" si="1"/>
        <v>1270.5459399427425</v>
      </c>
      <c r="E37" s="3">
        <f t="shared" si="2"/>
        <v>519.74308708576871</v>
      </c>
      <c r="F37" s="25">
        <f t="shared" si="3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19.8" x14ac:dyDescent="0.3">
      <c r="A38" s="4">
        <v>0.33</v>
      </c>
      <c r="B38" s="2">
        <f t="shared" si="0"/>
        <v>0.54656579746690892</v>
      </c>
      <c r="C38" s="24">
        <v>97.433771246593324</v>
      </c>
      <c r="D38" s="3">
        <f t="shared" si="1"/>
        <v>1258.7575941662144</v>
      </c>
      <c r="E38" s="3">
        <f t="shared" si="2"/>
        <v>514.34327451514832</v>
      </c>
      <c r="F38" s="25">
        <f t="shared" si="3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19.8" x14ac:dyDescent="0.3">
      <c r="A39" s="4">
        <v>0.34</v>
      </c>
      <c r="B39" s="2">
        <f t="shared" si="0"/>
        <v>0.55794092868825662</v>
      </c>
      <c r="C39" s="24">
        <v>97.097861267108101</v>
      </c>
      <c r="D39" s="3">
        <f t="shared" si="1"/>
        <v>1247.1620758913971</v>
      </c>
      <c r="E39" s="3">
        <f t="shared" si="2"/>
        <v>509.03771848018914</v>
      </c>
      <c r="F39" s="25">
        <f t="shared" si="3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9.8" x14ac:dyDescent="0.3">
      <c r="A40" s="4">
        <v>0.35</v>
      </c>
      <c r="B40" s="2">
        <f t="shared" si="0"/>
        <v>0.56909772573061956</v>
      </c>
      <c r="C40" s="24">
        <v>96.765053530649638</v>
      </c>
      <c r="D40" s="3">
        <f t="shared" si="1"/>
        <v>1235.7550615864884</v>
      </c>
      <c r="E40" s="3">
        <f t="shared" si="2"/>
        <v>503.8241976072751</v>
      </c>
      <c r="F40" s="25">
        <f t="shared" si="3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9.8" x14ac:dyDescent="0.3">
      <c r="A41" s="4">
        <v>0.36</v>
      </c>
      <c r="B41" s="2">
        <f t="shared" si="0"/>
        <v>0.58004163815996568</v>
      </c>
      <c r="C41" s="24">
        <v>96.435301886853594</v>
      </c>
      <c r="D41" s="3">
        <f t="shared" si="1"/>
        <v>1224.5323472265943</v>
      </c>
      <c r="E41" s="3">
        <f t="shared" si="2"/>
        <v>498.70055468504063</v>
      </c>
      <c r="F41" s="25">
        <f t="shared" si="3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9.8" x14ac:dyDescent="0.3">
      <c r="A42" s="4">
        <v>0.37</v>
      </c>
      <c r="B42" s="2">
        <f t="shared" si="0"/>
        <v>0.59077795059559224</v>
      </c>
      <c r="C42" s="24">
        <v>96.108561063323009</v>
      </c>
      <c r="D42" s="3">
        <f t="shared" si="1"/>
        <v>1213.4898444666219</v>
      </c>
      <c r="E42" s="3">
        <f t="shared" si="2"/>
        <v>493.66469451960342</v>
      </c>
      <c r="F42" s="25">
        <f t="shared" si="3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9.8" x14ac:dyDescent="0.3">
      <c r="A43" s="4">
        <v>0.38</v>
      </c>
      <c r="B43" s="2">
        <f t="shared" si="0"/>
        <v>0.60131178847495026</v>
      </c>
      <c r="C43" s="24">
        <v>95.784786646908202</v>
      </c>
      <c r="D43" s="3">
        <f t="shared" si="1"/>
        <v>1202.6235769499006</v>
      </c>
      <c r="E43" s="3">
        <f t="shared" si="2"/>
        <v>488.71458186941578</v>
      </c>
      <c r="F43" s="25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9.8" x14ac:dyDescent="0.3">
      <c r="A44" s="4">
        <v>0.39</v>
      </c>
      <c r="B44" s="2">
        <f t="shared" si="0"/>
        <v>0.61164812359406839</v>
      </c>
      <c r="C44" s="24">
        <v>95.46393506536792</v>
      </c>
      <c r="D44" s="3">
        <f t="shared" si="1"/>
        <v>1191.9296767474152</v>
      </c>
      <c r="E44" s="3">
        <f t="shared" si="2"/>
        <v>483.8482394565691</v>
      </c>
      <c r="F44" s="25">
        <f t="shared" si="3"/>
        <v>8.5265128291212022E-13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9.8" x14ac:dyDescent="0.3">
      <c r="A45" s="4">
        <v>0.4</v>
      </c>
      <c r="B45" s="2">
        <f t="shared" si="0"/>
        <v>0.62179177943300612</v>
      </c>
      <c r="C45" s="24">
        <v>95.145963569408011</v>
      </c>
      <c r="D45" s="3">
        <f t="shared" si="1"/>
        <v>1181.4043809227117</v>
      </c>
      <c r="E45" s="3">
        <f t="shared" si="2"/>
        <v>479.06374605152496</v>
      </c>
      <c r="F45" s="25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9.8" x14ac:dyDescent="0.3">
      <c r="A46" s="4">
        <v>0.41</v>
      </c>
      <c r="B46" s="2">
        <f t="shared" si="0"/>
        <v>0.63174743627537044</v>
      </c>
      <c r="C46" s="24">
        <v>94.830830215093087</v>
      </c>
      <c r="D46" s="3">
        <f t="shared" si="1"/>
        <v>1171.0440282177599</v>
      </c>
      <c r="E46" s="3">
        <f t="shared" si="2"/>
        <v>474.35923462833682</v>
      </c>
      <c r="F46" s="25">
        <f t="shared" si="3"/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9.8" x14ac:dyDescent="0.3">
      <c r="A47" s="4">
        <v>0.42</v>
      </c>
      <c r="B47" s="2">
        <f t="shared" si="0"/>
        <v>0.64151963613051854</v>
      </c>
      <c r="C47" s="24">
        <v>94.518493846626669</v>
      </c>
      <c r="D47" s="3">
        <f t="shared" si="1"/>
        <v>1160.845055855224</v>
      </c>
      <c r="E47" s="3">
        <f t="shared" si="2"/>
        <v>469.73289058759667</v>
      </c>
      <c r="F47" s="25">
        <f t="shared" si="3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9.8" x14ac:dyDescent="0.3">
      <c r="A48" s="4">
        <v>0.43</v>
      </c>
      <c r="B48" s="2">
        <f t="shared" si="0"/>
        <v>0.65111278746669554</v>
      </c>
      <c r="C48" s="24">
        <v>94.208914079495642</v>
      </c>
      <c r="D48" s="3">
        <f t="shared" si="1"/>
        <v>1150.8039964527643</v>
      </c>
      <c r="E48" s="3">
        <f t="shared" si="2"/>
        <v>465.18295004440586</v>
      </c>
      <c r="F48" s="25">
        <f t="shared" si="3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9.8" x14ac:dyDescent="0.3">
      <c r="A49" s="4">
        <v>0.44</v>
      </c>
      <c r="B49" s="2">
        <f t="shared" si="0"/>
        <v>0.66053116976297988</v>
      </c>
      <c r="C49" s="24">
        <v>93.902051283972497</v>
      </c>
      <c r="D49" s="3">
        <f t="shared" si="1"/>
        <v>1140.9174750451471</v>
      </c>
      <c r="E49" s="3">
        <f t="shared" si="2"/>
        <v>460.70769817881308</v>
      </c>
      <c r="F49" s="25">
        <f t="shared" si="3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9.8" x14ac:dyDescent="0.3">
      <c r="A50" s="4">
        <v>0.45</v>
      </c>
      <c r="B50" s="2">
        <f t="shared" si="0"/>
        <v>0.66977893788757714</v>
      </c>
      <c r="C50" s="24">
        <v>93.597866568971696</v>
      </c>
      <c r="D50" s="3">
        <f t="shared" si="1"/>
        <v>1131.1822062101303</v>
      </c>
      <c r="E50" s="3">
        <f t="shared" si="2"/>
        <v>456.3054676462545</v>
      </c>
      <c r="F50" s="25">
        <f t="shared" si="3"/>
        <v>1.3926637620897964E-12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9.8" x14ac:dyDescent="0.3">
      <c r="A51" s="4">
        <v>0.46</v>
      </c>
      <c r="B51" s="2">
        <f t="shared" si="0"/>
        <v>0.67886012630968007</v>
      </c>
      <c r="C51" s="24">
        <v>93.296321766254366</v>
      </c>
      <c r="D51" s="3">
        <f t="shared" si="1"/>
        <v>1121.594991294254</v>
      </c>
      <c r="E51" s="3">
        <f t="shared" si="2"/>
        <v>451.97463704563268</v>
      </c>
      <c r="F51" s="25">
        <f t="shared" si="3"/>
        <v>1.4779288903810084E-12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9.8" x14ac:dyDescent="0.3">
      <c r="A52" s="4">
        <v>0.47</v>
      </c>
      <c r="B52" s="2">
        <f t="shared" si="0"/>
        <v>0.68777865315175035</v>
      </c>
      <c r="C52" s="24">
        <v>92.997379414974986</v>
      </c>
      <c r="D52" s="3">
        <f t="shared" si="1"/>
        <v>1112.1527157347452</v>
      </c>
      <c r="E52" s="3">
        <f t="shared" si="2"/>
        <v>447.71362944277291</v>
      </c>
      <c r="F52" s="25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ht="19.8" x14ac:dyDescent="0.3">
      <c r="A53" s="4">
        <v>0.48</v>
      </c>
      <c r="B53" s="2">
        <f t="shared" si="0"/>
        <v>0.6965383240888392</v>
      </c>
      <c r="C53" s="24">
        <v>92.701002746565678</v>
      </c>
      <c r="D53" s="3">
        <f t="shared" si="1"/>
        <v>1102.8523464739956</v>
      </c>
      <c r="E53" s="3">
        <f t="shared" si="2"/>
        <v>443.52091094708084</v>
      </c>
      <c r="F53" s="25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9.8" x14ac:dyDescent="0.3">
      <c r="A54" s="4">
        <v>0.49</v>
      </c>
      <c r="B54" s="2">
        <f t="shared" si="0"/>
        <v>0.7051428361012364</v>
      </c>
      <c r="C54" s="24">
        <v>92.407155669951862</v>
      </c>
      <c r="D54" s="3">
        <f t="shared" si="1"/>
        <v>1093.6909294631421</v>
      </c>
      <c r="E54" s="3">
        <f t="shared" si="2"/>
        <v>439.39498933933578</v>
      </c>
      <c r="F54" s="25">
        <f t="shared" si="3"/>
        <v>-9.0949470177292824E-13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9.8" x14ac:dyDescent="0.3">
      <c r="A55" s="4">
        <v>0.5</v>
      </c>
      <c r="B55" s="2">
        <f t="shared" si="0"/>
        <v>0.71359578108645105</v>
      </c>
      <c r="C55" s="24">
        <v>92.115802757093206</v>
      </c>
      <c r="D55" s="3">
        <f t="shared" si="1"/>
        <v>1084.6655872514057</v>
      </c>
      <c r="E55" s="3">
        <f t="shared" si="2"/>
        <v>435.33441274859467</v>
      </c>
      <c r="F55" s="25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9.8" x14ac:dyDescent="0.3">
      <c r="A56" s="4">
        <v>0.51</v>
      </c>
      <c r="B56" s="2">
        <f t="shared" si="0"/>
        <v>0.72190064933631404</v>
      </c>
      <c r="C56" s="24">
        <v>91.826909228844784</v>
      </c>
      <c r="D56" s="3">
        <f t="shared" si="1"/>
        <v>1075.7735166580367</v>
      </c>
      <c r="E56" s="3">
        <f t="shared" si="2"/>
        <v>431.33776837632905</v>
      </c>
      <c r="F56" s="25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9.8" x14ac:dyDescent="0.3">
      <c r="A57" s="4">
        <v>0.52</v>
      </c>
      <c r="B57" s="2">
        <f t="shared" si="0"/>
        <v>0.73006083288467749</v>
      </c>
      <c r="C57" s="24">
        <v>91.540440941132047</v>
      </c>
      <c r="D57" s="3">
        <f t="shared" si="1"/>
        <v>1067.0119865237593</v>
      </c>
      <c r="E57" s="3">
        <f t="shared" si="2"/>
        <v>427.40368126592762</v>
      </c>
      <c r="F57" s="25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9.8" x14ac:dyDescent="0.3">
      <c r="A58" s="4">
        <v>0.53</v>
      </c>
      <c r="B58" s="2">
        <f t="shared" si="0"/>
        <v>0.73807962873100619</v>
      </c>
      <c r="C58" s="24">
        <v>91.256364371433747</v>
      </c>
      <c r="D58" s="3">
        <f t="shared" si="1"/>
        <v>1058.3783355388014</v>
      </c>
      <c r="E58" s="3">
        <f t="shared" si="2"/>
        <v>423.53081311581951</v>
      </c>
      <c r="F58" s="25">
        <f t="shared" si="3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ht="19.8" x14ac:dyDescent="0.3">
      <c r="A59" s="4">
        <v>0.54</v>
      </c>
      <c r="B59" s="2">
        <f t="shared" si="0"/>
        <v>0.7459602419448822</v>
      </c>
      <c r="C59" s="24">
        <v>90.974646605567614</v>
      </c>
      <c r="D59" s="3">
        <f t="shared" si="1"/>
        <v>1049.869970144649</v>
      </c>
      <c r="E59" s="3">
        <f t="shared" si="2"/>
        <v>419.71786113454192</v>
      </c>
      <c r="F59" s="25">
        <f t="shared" si="3"/>
        <v>2.5579538487363607E-13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ht="19.8" x14ac:dyDescent="0.3">
      <c r="A60" s="4">
        <v>0.55000000000000004</v>
      </c>
      <c r="B60" s="2">
        <f t="shared" si="0"/>
        <v>0.75370578865625126</v>
      </c>
      <c r="C60" s="24">
        <v>90.695255324771779</v>
      </c>
      <c r="D60" s="3">
        <f t="shared" si="1"/>
        <v>1041.4843625068197</v>
      </c>
      <c r="E60" s="3">
        <f t="shared" si="2"/>
        <v>415.96355693610946</v>
      </c>
      <c r="F60" s="25">
        <f t="shared" si="3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ht="19.8" x14ac:dyDescent="0.3">
      <c r="A61" s="4">
        <v>0.56000000000000005</v>
      </c>
      <c r="B61" s="2">
        <f t="shared" si="0"/>
        <v>0.76131929893602091</v>
      </c>
      <c r="C61" s="24">
        <v>90.418158793077268</v>
      </c>
      <c r="D61" s="3">
        <f t="shared" si="1"/>
        <v>1033.2190485560282</v>
      </c>
      <c r="E61" s="3">
        <f t="shared" si="2"/>
        <v>412.26666547414493</v>
      </c>
      <c r="F61" s="25">
        <f t="shared" si="3"/>
        <v>3.694822225952521E-13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ht="19.8" x14ac:dyDescent="0.3">
      <c r="A62" s="4">
        <v>0.56999999999999995</v>
      </c>
      <c r="B62" s="2">
        <f t="shared" si="0"/>
        <v>0.76880371957142501</v>
      </c>
      <c r="C62" s="24">
        <v>90.143325844964977</v>
      </c>
      <c r="D62" s="3">
        <f t="shared" si="1"/>
        <v>1025.0716260952333</v>
      </c>
      <c r="E62" s="3">
        <f t="shared" si="2"/>
        <v>408.62598401329581</v>
      </c>
      <c r="F62" s="25">
        <f t="shared" si="3"/>
        <v>0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ht="19.8" x14ac:dyDescent="0.3">
      <c r="A63" s="4">
        <v>0.57999999999999996</v>
      </c>
      <c r="B63" s="2">
        <f t="shared" si="0"/>
        <v>0.77616191674036661</v>
      </c>
      <c r="C63" s="24">
        <v>89.870725873301382</v>
      </c>
      <c r="D63" s="3">
        <f t="shared" si="1"/>
        <v>1017.0397529701355</v>
      </c>
      <c r="E63" s="3">
        <f t="shared" si="2"/>
        <v>405.04034113648129</v>
      </c>
      <c r="F63" s="25">
        <f t="shared" si="3"/>
        <v>-7.3896444519050419E-13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ht="19.8" x14ac:dyDescent="0.3">
      <c r="A64" s="4">
        <v>0.59</v>
      </c>
      <c r="B64" s="2">
        <f t="shared" si="0"/>
        <v>0.78339667858879436</v>
      </c>
      <c r="C64" s="24">
        <v>89.600328817547862</v>
      </c>
      <c r="D64" s="3">
        <f t="shared" si="1"/>
        <v>1009.1211453008199</v>
      </c>
      <c r="E64" s="3">
        <f t="shared" si="2"/>
        <v>401.50859578662886</v>
      </c>
      <c r="F64" s="25">
        <f t="shared" si="3"/>
        <v>-1.5347723092418164E-12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ht="19.8" x14ac:dyDescent="0.3">
      <c r="A65" s="4">
        <v>0.6</v>
      </c>
      <c r="B65" s="2">
        <f t="shared" si="0"/>
        <v>0.79051071771496462</v>
      </c>
      <c r="C65" s="24">
        <v>89.332105152236963</v>
      </c>
      <c r="D65" s="3">
        <f t="shared" si="1"/>
        <v>1001.3135757722886</v>
      </c>
      <c r="E65" s="3">
        <f t="shared" si="2"/>
        <v>398.02963634156464</v>
      </c>
      <c r="F65" s="25">
        <f t="shared" si="3"/>
        <v>1.0231815394945443E-12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ht="19.8" x14ac:dyDescent="0.3">
      <c r="A66" s="4">
        <v>0.61</v>
      </c>
      <c r="B66" s="2">
        <f t="shared" si="0"/>
        <v>0.79750667356431837</v>
      </c>
      <c r="C66" s="24">
        <v>89.06602587571102</v>
      </c>
      <c r="D66" s="3">
        <f t="shared" si="1"/>
        <v>993.61487198177383</v>
      </c>
      <c r="E66" s="3">
        <f t="shared" si="2"/>
        <v>394.6023797208145</v>
      </c>
      <c r="F66" s="25">
        <f t="shared" si="3"/>
        <v>3.4106051316484809E-13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ht="19.8" x14ac:dyDescent="0.3">
      <c r="A67" s="4">
        <v>0.62</v>
      </c>
      <c r="B67" s="2">
        <f t="shared" si="0"/>
        <v>0.80438711473845781</v>
      </c>
      <c r="C67" s="24">
        <v>88.802062499116246</v>
      </c>
      <c r="D67" s="3">
        <f t="shared" si="1"/>
        <v>986.02291484069019</v>
      </c>
      <c r="E67" s="3">
        <f t="shared" si="2"/>
        <v>391.22577052308628</v>
      </c>
      <c r="F67" s="25">
        <f t="shared" si="3"/>
        <v>-7.673861546209082E-13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ht="19.8" x14ac:dyDescent="0.3">
      <c r="A68" s="4">
        <v>0.63</v>
      </c>
      <c r="B68" s="2">
        <f t="shared" si="0"/>
        <v>0.81115454122168407</v>
      </c>
      <c r="C68" s="24">
        <v>88.54018703564816</v>
      </c>
      <c r="D68" s="3">
        <f t="shared" si="1"/>
        <v>978.53563702933309</v>
      </c>
      <c r="E68" s="3">
        <f t="shared" si="2"/>
        <v>387.8987801933016</v>
      </c>
      <c r="F68" s="25">
        <f t="shared" si="3"/>
        <v>-1.5063505998114124E-12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ht="19.8" x14ac:dyDescent="0.3">
      <c r="A69" s="4">
        <v>0.64</v>
      </c>
      <c r="B69" s="2">
        <f t="shared" ref="B69:B105" si="4">+A69*D69/760</f>
        <v>0.81781138652829666</v>
      </c>
      <c r="C69" s="24">
        <v>88.280371990041843</v>
      </c>
      <c r="D69" s="3">
        <f t="shared" si="1"/>
        <v>971.15102150235225</v>
      </c>
      <c r="E69" s="3">
        <f t="shared" si="2"/>
        <v>384.62040621803794</v>
      </c>
      <c r="F69" s="25">
        <f t="shared" si="3"/>
        <v>8.8107299234252423E-13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ht="19.8" x14ac:dyDescent="0.3">
      <c r="A70" s="4">
        <v>0.65</v>
      </c>
      <c r="B70" s="2">
        <f t="shared" si="4"/>
        <v>0.82436001977379592</v>
      </c>
      <c r="C70" s="24">
        <v>88.022590348302487</v>
      </c>
      <c r="D70" s="3">
        <f t="shared" si="1"/>
        <v>963.86710004320753</v>
      </c>
      <c r="E70" s="3">
        <f t="shared" si="2"/>
        <v>381.38967134832916</v>
      </c>
      <c r="F70" s="25">
        <f t="shared" si="3"/>
        <v>0</v>
      </c>
      <c r="G70" s="1"/>
      <c r="H70" s="1"/>
      <c r="I70" s="1"/>
      <c r="J70" s="1"/>
      <c r="K70" s="1"/>
      <c r="L70" s="1"/>
      <c r="M70" s="1"/>
      <c r="N70" s="1"/>
      <c r="O70" s="1"/>
    </row>
    <row r="71" spans="1:15" ht="19.8" x14ac:dyDescent="0.3">
      <c r="A71" s="4">
        <v>0.66</v>
      </c>
      <c r="B71" s="2">
        <f t="shared" si="4"/>
        <v>0.83080274767291007</v>
      </c>
      <c r="C71" s="24">
        <v>87.766815567669539</v>
      </c>
      <c r="D71" s="3">
        <f t="shared" ref="D71:D105" si="5">10^($I$4-$J$4/(C71+$K$4))</f>
        <v>956.68195186577532</v>
      </c>
      <c r="E71" s="3">
        <f t="shared" ref="E71:E105" si="6">10^($I$5-$J$5/($K$5+C71))</f>
        <v>378.20562284878747</v>
      </c>
      <c r="F71" s="25">
        <f t="shared" ref="F71:F105" si="7">$F$2-A71*D71-(1-A71)*E71</f>
        <v>5.6843418860808015E-13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ht="19.8" x14ac:dyDescent="0.3">
      <c r="A72" s="4">
        <v>0.67</v>
      </c>
      <c r="B72" s="2">
        <f t="shared" si="4"/>
        <v>0.8371418164673875</v>
      </c>
      <c r="C72" s="24">
        <v>87.513021566811247</v>
      </c>
      <c r="D72" s="3">
        <f t="shared" si="5"/>
        <v>949.59370226151407</v>
      </c>
      <c r="E72" s="3">
        <f t="shared" si="6"/>
        <v>375.06733177208008</v>
      </c>
      <c r="F72" s="25">
        <f t="shared" si="7"/>
        <v>-8.9528384705772623E-13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ht="19.8" x14ac:dyDescent="0.3">
      <c r="A73" s="4">
        <v>0.68</v>
      </c>
      <c r="B73" s="2">
        <f t="shared" si="4"/>
        <v>0.8433794137861913</v>
      </c>
      <c r="C73" s="24">
        <v>87.261182716242331</v>
      </c>
      <c r="D73" s="3">
        <f t="shared" si="5"/>
        <v>942.60052129044902</v>
      </c>
      <c r="E73" s="3">
        <f t="shared" si="6"/>
        <v>371.97389225779551</v>
      </c>
      <c r="F73" s="25">
        <f t="shared" si="7"/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ht="19.8" x14ac:dyDescent="0.3">
      <c r="A74" s="4">
        <v>0.69</v>
      </c>
      <c r="B74" s="2">
        <f t="shared" si="4"/>
        <v>0.8495176704407984</v>
      </c>
      <c r="C74" s="24">
        <v>87.011273828961677</v>
      </c>
      <c r="D74" s="3">
        <f t="shared" si="5"/>
        <v>935.7006225145027</v>
      </c>
      <c r="E74" s="3">
        <f t="shared" si="6"/>
        <v>368.92442085481554</v>
      </c>
      <c r="F74" s="25">
        <f t="shared" si="7"/>
        <v>3.4106051316484809E-13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ht="19.8" x14ac:dyDescent="0.3">
      <c r="A75" s="4">
        <v>0.7</v>
      </c>
      <c r="B75" s="2">
        <f t="shared" si="4"/>
        <v>0.85555866215804011</v>
      </c>
      <c r="C75" s="24">
        <v>86.763270151303189</v>
      </c>
      <c r="D75" s="3">
        <f t="shared" si="5"/>
        <v>928.8922617715865</v>
      </c>
      <c r="E75" s="3">
        <f t="shared" si="6"/>
        <v>365.91805586629982</v>
      </c>
      <c r="F75" s="25">
        <f t="shared" si="7"/>
        <v>-4.8316906031686813E-13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ht="19.8" x14ac:dyDescent="0.3">
      <c r="A76" s="4">
        <v>0.71</v>
      </c>
      <c r="B76" s="2">
        <f t="shared" si="4"/>
        <v>0.86150441125292765</v>
      </c>
      <c r="C76" s="24">
        <v>86.517147353996521</v>
      </c>
      <c r="D76" s="3">
        <f t="shared" si="5"/>
        <v>922.17373598904942</v>
      </c>
      <c r="E76" s="3">
        <f t="shared" si="6"/>
        <v>362.95395671646816</v>
      </c>
      <c r="F76" s="25">
        <f t="shared" si="7"/>
        <v>-7.9580786405131221E-13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ht="19.8" x14ac:dyDescent="0.3">
      <c r="A77" s="4">
        <v>0.72</v>
      </c>
      <c r="B77" s="2">
        <f t="shared" si="4"/>
        <v>0.86735688824375956</v>
      </c>
      <c r="C77" s="24">
        <v>86.272881523431607</v>
      </c>
      <c r="D77" s="3">
        <f t="shared" si="5"/>
        <v>915.5433820350795</v>
      </c>
      <c r="E77" s="3">
        <f t="shared" si="6"/>
        <v>360.03130333836407</v>
      </c>
      <c r="F77" s="25">
        <f t="shared" si="7"/>
        <v>7.815970093361102E-13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ht="19.8" x14ac:dyDescent="0.3">
      <c r="A78" s="4">
        <v>0.73</v>
      </c>
      <c r="B78" s="2">
        <f t="shared" si="4"/>
        <v>0.8731180134117128</v>
      </c>
      <c r="C78" s="24">
        <v>86.030449153123683</v>
      </c>
      <c r="D78" s="3">
        <f t="shared" si="5"/>
        <v>908.99957560671476</v>
      </c>
      <c r="E78" s="3">
        <f t="shared" si="6"/>
        <v>357.14929558184531</v>
      </c>
      <c r="F78" s="25">
        <f t="shared" si="7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ht="19.8" x14ac:dyDescent="0.3">
      <c r="A79" s="4">
        <v>0.74</v>
      </c>
      <c r="B79" s="2">
        <f t="shared" si="4"/>
        <v>0.87878965830701361</v>
      </c>
      <c r="C79" s="24">
        <v>85.78982713537215</v>
      </c>
      <c r="D79" s="3">
        <f t="shared" si="5"/>
        <v>902.54073015314918</v>
      </c>
      <c r="E79" s="3">
        <f t="shared" si="6"/>
        <v>354.30715264103719</v>
      </c>
      <c r="F79" s="25">
        <f t="shared" si="7"/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ht="19.8" x14ac:dyDescent="0.3">
      <c r="A80" s="4">
        <v>0.75</v>
      </c>
      <c r="B80" s="2">
        <f t="shared" si="4"/>
        <v>0.88437364720376199</v>
      </c>
      <c r="C80" s="24">
        <v>85.550992753110961</v>
      </c>
      <c r="D80" s="3">
        <f t="shared" si="5"/>
        <v>896.16529583314536</v>
      </c>
      <c r="E80" s="3">
        <f t="shared" si="6"/>
        <v>351.50411250056231</v>
      </c>
      <c r="F80" s="25">
        <f t="shared" si="7"/>
        <v>3.4106051316484809E-13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ht="19.8" x14ac:dyDescent="0.3">
      <c r="A81" s="4">
        <v>0.76</v>
      </c>
      <c r="B81" s="2">
        <f t="shared" si="4"/>
        <v>0.88987175850530653</v>
      </c>
      <c r="C81" s="24">
        <v>85.31392367194475</v>
      </c>
      <c r="D81" s="3">
        <f t="shared" si="5"/>
        <v>889.8717585053065</v>
      </c>
      <c r="E81" s="3">
        <f t="shared" si="6"/>
        <v>348.73943139986375</v>
      </c>
      <c r="F81" s="25">
        <f t="shared" si="7"/>
        <v>-2.8421709430404007E-13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19.8" x14ac:dyDescent="0.3">
      <c r="A82" s="4">
        <v>0.77</v>
      </c>
      <c r="B82" s="2">
        <f t="shared" si="4"/>
        <v>0.8952857261020577</v>
      </c>
      <c r="C82" s="24">
        <v>85.078597932366108</v>
      </c>
      <c r="D82" s="3">
        <f t="shared" si="5"/>
        <v>883.6586387500829</v>
      </c>
      <c r="E82" s="3">
        <f t="shared" si="6"/>
        <v>346.01238331493664</v>
      </c>
      <c r="F82" s="25">
        <f t="shared" si="7"/>
        <v>6.8212102632969618E-13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19.8" x14ac:dyDescent="0.3">
      <c r="A83" s="4">
        <v>0.78</v>
      </c>
      <c r="B83" s="2">
        <f t="shared" si="4"/>
        <v>0.90061724068353533</v>
      </c>
      <c r="C83" s="24">
        <v>84.844993942150936</v>
      </c>
      <c r="D83" s="3">
        <f t="shared" si="5"/>
        <v>877.52449092241909</v>
      </c>
      <c r="E83" s="3">
        <f t="shared" si="6"/>
        <v>343.32225945687759</v>
      </c>
      <c r="F83" s="25">
        <f t="shared" si="7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19.8" x14ac:dyDescent="0.3">
      <c r="A84" s="4">
        <v>0.79</v>
      </c>
      <c r="B84" s="2">
        <f t="shared" si="4"/>
        <v>0.90586795100632544</v>
      </c>
      <c r="C84" s="24">
        <v>84.6130904689266</v>
      </c>
      <c r="D84" s="3">
        <f t="shared" si="5"/>
        <v>871.46790223393327</v>
      </c>
      <c r="E84" s="3">
        <f t="shared" si="6"/>
        <v>340.66836778662855</v>
      </c>
      <c r="F84" s="25">
        <f t="shared" si="7"/>
        <v>6.9633188104489818E-13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19.8" x14ac:dyDescent="0.3">
      <c r="A85" s="4">
        <v>0.8</v>
      </c>
      <c r="B85" s="2">
        <f t="shared" si="4"/>
        <v>0.91103946511965239</v>
      </c>
      <c r="C85" s="24">
        <v>84.382866632909426</v>
      </c>
      <c r="D85" s="3">
        <f t="shared" si="5"/>
        <v>865.48749186366967</v>
      </c>
      <c r="E85" s="3">
        <f t="shared" si="6"/>
        <v>338.05003254532045</v>
      </c>
      <c r="F85" s="25">
        <f t="shared" si="7"/>
        <v>1.1368683772161603E-13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ht="19.8" x14ac:dyDescent="0.3">
      <c r="A86" s="4">
        <v>0.81</v>
      </c>
      <c r="B86" s="2">
        <f t="shared" si="4"/>
        <v>0.91613335155007714</v>
      </c>
      <c r="C86" s="24">
        <v>84.154301899806924</v>
      </c>
      <c r="D86" s="3">
        <f t="shared" si="5"/>
        <v>859.58191009636857</v>
      </c>
      <c r="E86" s="3">
        <f t="shared" si="6"/>
        <v>335.46659379969236</v>
      </c>
      <c r="F86" s="25">
        <f t="shared" si="7"/>
        <v>-1.2789769243681803E-13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ht="19.8" x14ac:dyDescent="0.3">
      <c r="A87" s="4">
        <v>0.82</v>
      </c>
      <c r="B87" s="2">
        <f t="shared" si="4"/>
        <v>0.92115114044689195</v>
      </c>
      <c r="C87" s="24">
        <v>83.927376073881646</v>
      </c>
      <c r="D87" s="3">
        <f t="shared" si="5"/>
        <v>853.74983748736327</v>
      </c>
      <c r="E87" s="3">
        <f t="shared" si="6"/>
        <v>332.91740700201234</v>
      </c>
      <c r="F87" s="25">
        <f t="shared" si="7"/>
        <v>-9.2370555648813024E-14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ht="19.8" x14ac:dyDescent="0.3">
      <c r="A88" s="4">
        <v>0.83</v>
      </c>
      <c r="B88" s="2">
        <f t="shared" si="4"/>
        <v>0.92609432468962838</v>
      </c>
      <c r="C88" s="24">
        <v>83.702069291171995</v>
      </c>
      <c r="D88" s="3">
        <f t="shared" si="5"/>
        <v>847.98998405315376</v>
      </c>
      <c r="E88" s="3">
        <f t="shared" si="6"/>
        <v>330.4018425640121</v>
      </c>
      <c r="F88" s="25">
        <f t="shared" si="7"/>
        <v>3.979039320256561E-13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ht="19.8" x14ac:dyDescent="0.3">
      <c r="A89" s="4">
        <v>0.84</v>
      </c>
      <c r="B89" s="2">
        <f t="shared" si="4"/>
        <v>0.93096436095909008</v>
      </c>
      <c r="C89" s="24">
        <v>83.478362012866626</v>
      </c>
      <c r="D89" s="3">
        <f t="shared" si="5"/>
        <v>842.30108848679583</v>
      </c>
      <c r="E89" s="3">
        <f t="shared" si="6"/>
        <v>327.91928544431863</v>
      </c>
      <c r="F89" s="25">
        <f t="shared" si="7"/>
        <v>5.8975047068088315E-13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ht="19.8" x14ac:dyDescent="0.3">
      <c r="A90" s="4">
        <v>0.85</v>
      </c>
      <c r="B90" s="2">
        <f t="shared" si="4"/>
        <v>0.93576267077323938</v>
      </c>
      <c r="C90" s="24">
        <v>83.256235018829088</v>
      </c>
      <c r="D90" s="3">
        <f t="shared" si="5"/>
        <v>836.68191739724944</v>
      </c>
      <c r="E90" s="3">
        <f t="shared" si="6"/>
        <v>325.46913474892625</v>
      </c>
      <c r="F90" s="25">
        <f t="shared" si="7"/>
        <v>-8.9528384705772623E-13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ht="19.8" x14ac:dyDescent="0.3">
      <c r="A91" s="4">
        <v>0.86</v>
      </c>
      <c r="B91" s="2">
        <f t="shared" si="4"/>
        <v>0.94049064148922001</v>
      </c>
      <c r="C91" s="24">
        <v>83.035669401268308</v>
      </c>
      <c r="D91" s="3">
        <f t="shared" si="5"/>
        <v>831.13126457186888</v>
      </c>
      <c r="E91" s="3">
        <f t="shared" si="6"/>
        <v>323.0508033442315</v>
      </c>
      <c r="F91" s="25">
        <f t="shared" si="7"/>
        <v>3.694822225952521E-13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ht="19.8" x14ac:dyDescent="0.3">
      <c r="A92" s="4">
        <v>0.87</v>
      </c>
      <c r="B92" s="2">
        <f t="shared" si="4"/>
        <v>0.94514962727278173</v>
      </c>
      <c r="C92" s="24">
        <v>82.81664655855235</v>
      </c>
      <c r="D92" s="3">
        <f t="shared" si="5"/>
        <v>825.6479502612807</v>
      </c>
      <c r="E92" s="3">
        <f t="shared" si="6"/>
        <v>320.66371748219836</v>
      </c>
      <c r="F92" s="25">
        <f t="shared" si="7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ht="19.8" x14ac:dyDescent="0.3">
      <c r="A93" s="4">
        <v>0.88</v>
      </c>
      <c r="B93" s="2">
        <f t="shared" si="4"/>
        <v>0.94974095003622638</v>
      </c>
      <c r="C93" s="24">
        <v>82.599148189160971</v>
      </c>
      <c r="D93" s="3">
        <f t="shared" si="5"/>
        <v>820.23082048583183</v>
      </c>
      <c r="E93" s="3">
        <f t="shared" si="6"/>
        <v>318.30731643723334</v>
      </c>
      <c r="F93" s="25">
        <f t="shared" si="7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ht="19.8" x14ac:dyDescent="0.3">
      <c r="A94" s="4">
        <v>0.89</v>
      </c>
      <c r="B94" s="2">
        <f t="shared" si="4"/>
        <v>0.95426590034607872</v>
      </c>
      <c r="C94" s="24">
        <v>82.383156285774788</v>
      </c>
      <c r="D94" s="3">
        <f t="shared" si="5"/>
        <v>814.87874636294362</v>
      </c>
      <c r="E94" s="3">
        <f t="shared" si="6"/>
        <v>315.98105215435851</v>
      </c>
      <c r="F94" s="25">
        <f t="shared" si="7"/>
        <v>7.460698725481052E-13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ht="19.8" x14ac:dyDescent="0.3">
      <c r="A95" s="4">
        <v>0.9</v>
      </c>
      <c r="B95" s="2">
        <f t="shared" si="4"/>
        <v>0.95872573830154151</v>
      </c>
      <c r="C95" s="24">
        <v>82.16865312949696</v>
      </c>
      <c r="D95" s="3">
        <f t="shared" si="5"/>
        <v>809.59062345463508</v>
      </c>
      <c r="E95" s="3">
        <f t="shared" si="6"/>
        <v>313.68438890828298</v>
      </c>
      <c r="F95" s="25">
        <f t="shared" si="7"/>
        <v>1.3855583347321954E-13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ht="19.8" x14ac:dyDescent="0.3">
      <c r="A96" s="4">
        <v>0.91</v>
      </c>
      <c r="B96" s="2">
        <f t="shared" si="4"/>
        <v>0.96312169438477568</v>
      </c>
      <c r="C96" s="24">
        <v>81.955621284204156</v>
      </c>
      <c r="D96" s="3">
        <f t="shared" si="5"/>
        <v>804.3653711345379</v>
      </c>
      <c r="E96" s="3">
        <f t="shared" si="6"/>
        <v>311.41680297300917</v>
      </c>
      <c r="F96" s="25">
        <f t="shared" si="7"/>
        <v>-3.1619151741324458E-13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ht="19.8" x14ac:dyDescent="0.3">
      <c r="A97" s="4">
        <v>0.92</v>
      </c>
      <c r="B97" s="2">
        <f t="shared" si="4"/>
        <v>0.96745497028404137</v>
      </c>
      <c r="C97" s="24">
        <v>81.744043591024521</v>
      </c>
      <c r="D97" s="3">
        <f t="shared" si="5"/>
        <v>799.20193197377318</v>
      </c>
      <c r="E97" s="3">
        <f t="shared" si="6"/>
        <v>309.17778230160405</v>
      </c>
      <c r="F97" s="25">
        <f t="shared" si="7"/>
        <v>2.7711166694643907E-13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ht="19.8" x14ac:dyDescent="0.3">
      <c r="A98" s="4">
        <v>0.93</v>
      </c>
      <c r="B98" s="2">
        <f t="shared" si="4"/>
        <v>0.97172673969065126</v>
      </c>
      <c r="C98" s="24">
        <v>81.533903162938515</v>
      </c>
      <c r="D98" s="3">
        <f t="shared" si="5"/>
        <v>794.09927114504831</v>
      </c>
      <c r="E98" s="3">
        <f t="shared" si="6"/>
        <v>306.96682621577872</v>
      </c>
      <c r="F98" s="25">
        <f t="shared" si="7"/>
        <v>5.5067062021407764E-13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ht="19.8" x14ac:dyDescent="0.3">
      <c r="A99" s="4">
        <v>0.94</v>
      </c>
      <c r="B99" s="2">
        <f t="shared" si="4"/>
        <v>0.97593814907066112</v>
      </c>
      <c r="C99" s="24">
        <v>81.325183379500743</v>
      </c>
      <c r="D99" s="3">
        <f t="shared" si="5"/>
        <v>789.05637584436431</v>
      </c>
      <c r="E99" s="3">
        <f t="shared" si="6"/>
        <v>304.78344510495725</v>
      </c>
      <c r="F99" s="25">
        <f t="shared" si="7"/>
        <v>1.2434497875801753E-13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ht="19.8" x14ac:dyDescent="0.3">
      <c r="A100" s="4">
        <v>0.95</v>
      </c>
      <c r="B100" s="2">
        <f t="shared" si="4"/>
        <v>0.98009031841220495</v>
      </c>
      <c r="C100" s="24">
        <v>81.117867881678436</v>
      </c>
      <c r="D100" s="3">
        <f t="shared" si="5"/>
        <v>784.07225472976404</v>
      </c>
      <c r="E100" s="3">
        <f t="shared" si="6"/>
        <v>302.62716013448579</v>
      </c>
      <c r="F100" s="25">
        <f t="shared" si="7"/>
        <v>-9.0594198809412774E-14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9.8" x14ac:dyDescent="0.3">
      <c r="A101" s="4">
        <v>0.96</v>
      </c>
      <c r="B101" s="2">
        <f t="shared" si="4"/>
        <v>0.98418434194933235</v>
      </c>
      <c r="C101" s="24">
        <v>80.91194056680591</v>
      </c>
      <c r="D101" s="3">
        <f t="shared" si="5"/>
        <v>779.1459373765548</v>
      </c>
      <c r="E101" s="3">
        <f t="shared" si="6"/>
        <v>300.49750296270543</v>
      </c>
      <c r="F101" s="25">
        <f t="shared" si="7"/>
        <v>-8.3311135767871747E-13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9.8" x14ac:dyDescent="0.3">
      <c r="A102" s="4">
        <v>0.97</v>
      </c>
      <c r="B102" s="2">
        <f t="shared" si="4"/>
        <v>0.98822128886316141</v>
      </c>
      <c r="C102" s="24">
        <v>80.707385583649497</v>
      </c>
      <c r="D102" s="3">
        <f t="shared" si="5"/>
        <v>774.2764737484564</v>
      </c>
      <c r="E102" s="3">
        <f t="shared" si="6"/>
        <v>298.39401546654534</v>
      </c>
      <c r="F102" s="25">
        <f t="shared" si="7"/>
        <v>9.9653618690354051E-13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9.8" x14ac:dyDescent="0.3">
      <c r="A103" s="4">
        <v>0.98</v>
      </c>
      <c r="B103" s="2">
        <f t="shared" si="4"/>
        <v>0.99220220396117387</v>
      </c>
      <c r="C103" s="24">
        <v>80.504187327583153</v>
      </c>
      <c r="D103" s="3">
        <f t="shared" si="5"/>
        <v>769.46293368417571</v>
      </c>
      <c r="E103" s="3">
        <f t="shared" si="6"/>
        <v>296.31624947539063</v>
      </c>
      <c r="F103" s="25">
        <f t="shared" si="7"/>
        <v>4.3520742565306136E-14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9.8" x14ac:dyDescent="0.3">
      <c r="A104" s="4">
        <v>0.99</v>
      </c>
      <c r="B104" s="2">
        <f t="shared" si="4"/>
        <v>0.99612810833535725</v>
      </c>
      <c r="C104" s="24">
        <v>80.302330435869266</v>
      </c>
      <c r="D104" s="3">
        <f t="shared" si="5"/>
        <v>764.7044063988601</v>
      </c>
      <c r="E104" s="3">
        <f t="shared" si="6"/>
        <v>294.26376651291059</v>
      </c>
      <c r="F104" s="25">
        <f t="shared" si="7"/>
        <v>-6.3593574850528967E-13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9.8" x14ac:dyDescent="0.3">
      <c r="A105" s="4">
        <v>1</v>
      </c>
      <c r="B105" s="2">
        <f t="shared" si="4"/>
        <v>1.0000000000000011</v>
      </c>
      <c r="C105" s="24">
        <v>80.101799783044825</v>
      </c>
      <c r="D105" s="3">
        <f t="shared" si="5"/>
        <v>760.0000000000008</v>
      </c>
      <c r="E105" s="3">
        <f t="shared" si="6"/>
        <v>292.23613754660755</v>
      </c>
      <c r="F105" s="25">
        <f t="shared" si="7"/>
        <v>-7.9580786405131221E-13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9.8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9.8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9.8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9.8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9.8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9.8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9.8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9.8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9.8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9.8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9.8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9.8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9.8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9.8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</sheetData>
  <phoneticPr fontId="1" type="noConversion"/>
  <pageMargins left="0.75" right="0.75" top="1" bottom="1" header="0.5" footer="0.5"/>
  <pageSetup scale="22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"/>
  <sheetViews>
    <sheetView showGridLines="0" workbookViewId="0">
      <selection activeCell="C15" sqref="C15"/>
    </sheetView>
  </sheetViews>
  <sheetFormatPr defaultRowHeight="12.6" x14ac:dyDescent="0.2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53"/>
  <sheetViews>
    <sheetView zoomScale="80" zoomScaleNormal="80" workbookViewId="0">
      <selection activeCell="E22" sqref="E22"/>
    </sheetView>
  </sheetViews>
  <sheetFormatPr defaultRowHeight="12.6" x14ac:dyDescent="0.2"/>
  <cols>
    <col min="1" max="29" width="16.6328125" customWidth="1"/>
  </cols>
  <sheetData>
    <row r="1" spans="1:15" ht="25.8" x14ac:dyDescent="0.5">
      <c r="A1" s="29" t="s">
        <v>163</v>
      </c>
      <c r="B1" s="14"/>
      <c r="C1" s="14"/>
      <c r="D1" s="16"/>
      <c r="E1" s="15"/>
      <c r="F1" s="14"/>
      <c r="J1" s="14"/>
      <c r="K1" s="14"/>
      <c r="L1" s="14"/>
      <c r="M1" s="14"/>
      <c r="N1" s="14"/>
    </row>
    <row r="2" spans="1:15" ht="24" thickBot="1" x14ac:dyDescent="0.45">
      <c r="A2" s="65"/>
      <c r="B2" s="65"/>
      <c r="C2" s="65"/>
      <c r="D2" s="116"/>
      <c r="E2" s="253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2.2" thickTop="1" thickBot="1" x14ac:dyDescent="0.45">
      <c r="A3" s="63" t="s">
        <v>164</v>
      </c>
      <c r="B3" s="64">
        <v>2</v>
      </c>
      <c r="C3" s="65"/>
      <c r="D3" s="66" t="s">
        <v>37</v>
      </c>
      <c r="E3" s="67"/>
      <c r="F3" s="68"/>
      <c r="G3" s="65"/>
      <c r="H3" s="65"/>
      <c r="I3" s="65"/>
      <c r="J3" s="65"/>
      <c r="K3" s="65"/>
      <c r="L3" s="65"/>
      <c r="M3" s="65"/>
      <c r="N3" s="65"/>
      <c r="O3" s="65"/>
    </row>
    <row r="4" spans="1:15" ht="22.2" thickTop="1" thickBot="1" x14ac:dyDescent="0.45">
      <c r="A4" s="70" t="s">
        <v>165</v>
      </c>
      <c r="B4" s="71">
        <v>760</v>
      </c>
      <c r="C4" s="65"/>
      <c r="D4" s="72" t="s">
        <v>38</v>
      </c>
      <c r="E4" s="73"/>
      <c r="F4" s="74"/>
      <c r="G4" s="65"/>
      <c r="H4" s="65"/>
      <c r="I4" s="65"/>
      <c r="J4" s="65"/>
      <c r="K4" s="65"/>
      <c r="L4" s="65"/>
      <c r="M4" s="65"/>
      <c r="N4" s="65"/>
      <c r="O4" s="65"/>
    </row>
    <row r="5" spans="1:15" ht="22.2" thickTop="1" thickBot="1" x14ac:dyDescent="0.4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26.4" thickTop="1" thickBot="1" x14ac:dyDescent="0.6">
      <c r="A6" s="77" t="s">
        <v>1</v>
      </c>
      <c r="B6" s="78" t="s">
        <v>39</v>
      </c>
      <c r="C6" s="78" t="s">
        <v>40</v>
      </c>
      <c r="D6" s="78" t="s">
        <v>41</v>
      </c>
      <c r="E6" s="78" t="s">
        <v>42</v>
      </c>
      <c r="F6" s="78" t="s">
        <v>101</v>
      </c>
      <c r="G6" s="78" t="s">
        <v>43</v>
      </c>
      <c r="H6" s="78" t="s">
        <v>44</v>
      </c>
      <c r="I6" s="78" t="s">
        <v>45</v>
      </c>
      <c r="J6" s="78" t="s">
        <v>46</v>
      </c>
      <c r="K6" s="78" t="s">
        <v>102</v>
      </c>
      <c r="L6" s="78" t="s">
        <v>103</v>
      </c>
      <c r="M6" s="78" t="s">
        <v>104</v>
      </c>
      <c r="N6" s="79" t="s">
        <v>32</v>
      </c>
      <c r="O6" s="65"/>
    </row>
    <row r="7" spans="1:15" ht="22.2" thickTop="1" thickBot="1" x14ac:dyDescent="0.45">
      <c r="A7" s="80" t="s">
        <v>166</v>
      </c>
      <c r="B7" s="81"/>
      <c r="C7" s="81"/>
      <c r="D7" s="81"/>
      <c r="E7" s="82">
        <v>50</v>
      </c>
      <c r="F7" s="83">
        <v>0.95428023829520192</v>
      </c>
      <c r="G7" s="254">
        <f>+E7*B3</f>
        <v>100</v>
      </c>
      <c r="H7" s="85">
        <f>+F7</f>
        <v>0.95428023829520192</v>
      </c>
      <c r="I7" s="81"/>
      <c r="J7" s="81"/>
      <c r="K7" s="86">
        <v>81.029557082400501</v>
      </c>
      <c r="L7" s="85">
        <f t="shared" ref="L7:L18" si="0">10^($B$24-$C$24/($D$24+K7))/$B$4</f>
        <v>1.0288903335530559</v>
      </c>
      <c r="M7" s="85">
        <f t="shared" ref="M7:M18" si="1">10^($B$25-$C$25/($D$25+K7))/$B$4</f>
        <v>0.39698997829288457</v>
      </c>
      <c r="N7" s="255">
        <f>+H7*L7+(1-H7)*M7</f>
        <v>0.9999999998893836</v>
      </c>
      <c r="O7" s="65"/>
    </row>
    <row r="8" spans="1:15" ht="21.6" thickTop="1" x14ac:dyDescent="0.4">
      <c r="A8" s="80">
        <v>1</v>
      </c>
      <c r="B8" s="92"/>
      <c r="C8" s="93"/>
      <c r="D8" s="94">
        <f>+B8*C8</f>
        <v>0</v>
      </c>
      <c r="E8" s="81"/>
      <c r="F8" s="81"/>
      <c r="G8" s="254">
        <f>+I9+G7+B8-I8</f>
        <v>100</v>
      </c>
      <c r="H8" s="85">
        <f t="shared" ref="H8:H18" si="2">+J8/L8</f>
        <v>0.89003191769879952</v>
      </c>
      <c r="I8" s="254">
        <f>+E7+G7</f>
        <v>150</v>
      </c>
      <c r="J8" s="85">
        <f>+F7</f>
        <v>0.95428023829520192</v>
      </c>
      <c r="K8" s="95">
        <v>82.382469290930004</v>
      </c>
      <c r="L8" s="85">
        <f t="shared" si="0"/>
        <v>1.0721865354700066</v>
      </c>
      <c r="M8" s="85">
        <f t="shared" si="1"/>
        <v>0.41575483555396392</v>
      </c>
      <c r="N8" s="255">
        <f t="shared" ref="N8:N18" si="3">+J8/L8+(1-J8)/M8</f>
        <v>0.99999999935413308</v>
      </c>
      <c r="O8" s="65"/>
    </row>
    <row r="9" spans="1:15" ht="21" x14ac:dyDescent="0.4">
      <c r="A9" s="80">
        <v>2</v>
      </c>
      <c r="B9" s="97"/>
      <c r="C9" s="98"/>
      <c r="D9" s="99">
        <f t="shared" ref="D9:D17" si="4">+B9*C9</f>
        <v>0</v>
      </c>
      <c r="E9" s="81"/>
      <c r="F9" s="81"/>
      <c r="G9" s="254">
        <f t="shared" ref="G9:G18" si="5">+I10+G8+B9-I9</f>
        <v>100</v>
      </c>
      <c r="H9" s="85">
        <f t="shared" si="2"/>
        <v>0.80079651031873944</v>
      </c>
      <c r="I9" s="254">
        <f>+I8</f>
        <v>150</v>
      </c>
      <c r="J9" s="85">
        <f t="shared" ref="J9:J18" si="6">+(I8*J8+G8*H8-B8*C8-G7*H7)/I9</f>
        <v>0.91144802456426699</v>
      </c>
      <c r="K9" s="95">
        <v>84.364600718395764</v>
      </c>
      <c r="L9" s="85">
        <f t="shared" si="0"/>
        <v>1.1381768187294987</v>
      </c>
      <c r="M9" s="85">
        <f t="shared" si="1"/>
        <v>0.44453024871513602</v>
      </c>
      <c r="N9" s="255">
        <f t="shared" si="3"/>
        <v>0.99999999690189634</v>
      </c>
      <c r="O9" s="65"/>
    </row>
    <row r="10" spans="1:15" ht="21" x14ac:dyDescent="0.4">
      <c r="A10" s="80">
        <v>3</v>
      </c>
      <c r="B10" s="97"/>
      <c r="C10" s="98"/>
      <c r="D10" s="99">
        <f t="shared" si="4"/>
        <v>0</v>
      </c>
      <c r="E10" s="81"/>
      <c r="F10" s="81"/>
      <c r="G10" s="254">
        <f t="shared" si="5"/>
        <v>100</v>
      </c>
      <c r="H10" s="85">
        <f t="shared" si="2"/>
        <v>0.69402004045995358</v>
      </c>
      <c r="I10" s="254">
        <f t="shared" ref="I10:I18" si="7">+I9</f>
        <v>150</v>
      </c>
      <c r="J10" s="85">
        <f t="shared" si="6"/>
        <v>0.85195775297756049</v>
      </c>
      <c r="K10" s="95">
        <v>86.911347844252276</v>
      </c>
      <c r="L10" s="85">
        <f t="shared" si="0"/>
        <v>1.2275693831736265</v>
      </c>
      <c r="M10" s="85">
        <f t="shared" si="1"/>
        <v>0.48382989188837594</v>
      </c>
      <c r="N10" s="255">
        <f t="shared" si="3"/>
        <v>0.99999999230756331</v>
      </c>
      <c r="O10" s="65"/>
    </row>
    <row r="11" spans="1:15" ht="21" x14ac:dyDescent="0.4">
      <c r="A11" s="80">
        <v>4</v>
      </c>
      <c r="B11" s="97"/>
      <c r="C11" s="98"/>
      <c r="D11" s="99">
        <f t="shared" si="4"/>
        <v>0</v>
      </c>
      <c r="E11" s="81"/>
      <c r="F11" s="81"/>
      <c r="G11" s="254">
        <f t="shared" si="5"/>
        <v>100</v>
      </c>
      <c r="H11" s="85">
        <f t="shared" si="2"/>
        <v>0.5863545886244077</v>
      </c>
      <c r="I11" s="254">
        <f t="shared" si="7"/>
        <v>150</v>
      </c>
      <c r="J11" s="85">
        <f t="shared" si="6"/>
        <v>0.78077343973836977</v>
      </c>
      <c r="K11" s="95">
        <v>89.698646628706015</v>
      </c>
      <c r="L11" s="85">
        <f t="shared" si="0"/>
        <v>1.3315721491496642</v>
      </c>
      <c r="M11" s="85">
        <f t="shared" si="1"/>
        <v>0.52998670194772979</v>
      </c>
      <c r="N11" s="255">
        <f t="shared" si="3"/>
        <v>0.99999998662394385</v>
      </c>
      <c r="O11" s="65"/>
    </row>
    <row r="12" spans="1:15" ht="21" x14ac:dyDescent="0.4">
      <c r="A12" s="80">
        <v>5</v>
      </c>
      <c r="B12" s="97">
        <v>100</v>
      </c>
      <c r="C12" s="98">
        <v>0.5</v>
      </c>
      <c r="D12" s="99">
        <f>+B12*C12</f>
        <v>50</v>
      </c>
      <c r="E12" s="81"/>
      <c r="F12" s="81"/>
      <c r="G12" s="254">
        <f t="shared" si="5"/>
        <v>200</v>
      </c>
      <c r="H12" s="85">
        <f t="shared" si="2"/>
        <v>0.49453685094338046</v>
      </c>
      <c r="I12" s="254">
        <f t="shared" si="7"/>
        <v>150</v>
      </c>
      <c r="J12" s="85">
        <f t="shared" si="6"/>
        <v>0.70899647184800596</v>
      </c>
      <c r="K12" s="95">
        <v>92.274670628161672</v>
      </c>
      <c r="L12" s="85">
        <f t="shared" si="0"/>
        <v>1.4336575130761671</v>
      </c>
      <c r="M12" s="85">
        <f t="shared" si="1"/>
        <v>0.57571686267432254</v>
      </c>
      <c r="N12" s="255">
        <f t="shared" si="3"/>
        <v>0.99999977381179028</v>
      </c>
      <c r="O12" s="65"/>
    </row>
    <row r="13" spans="1:15" ht="21" x14ac:dyDescent="0.4">
      <c r="A13" s="80">
        <v>6</v>
      </c>
      <c r="B13" s="97"/>
      <c r="C13" s="98"/>
      <c r="D13" s="99">
        <f t="shared" si="4"/>
        <v>0</v>
      </c>
      <c r="E13" s="81"/>
      <c r="F13" s="81"/>
      <c r="G13" s="254">
        <f t="shared" si="5"/>
        <v>200</v>
      </c>
      <c r="H13" s="85">
        <f t="shared" si="2"/>
        <v>0.42271591846459361</v>
      </c>
      <c r="I13" s="254">
        <f t="shared" si="7"/>
        <v>150</v>
      </c>
      <c r="J13" s="85">
        <f>+(I12*J12+G12*H12-B12*C12-G11*H11)/I13</f>
        <v>0.64414254735624143</v>
      </c>
      <c r="K13" s="95">
        <v>94.434141337462577</v>
      </c>
      <c r="L13" s="85">
        <f t="shared" si="0"/>
        <v>1.5238189981014267</v>
      </c>
      <c r="M13" s="85">
        <f t="shared" si="1"/>
        <v>0.61643374624315006</v>
      </c>
      <c r="N13" s="255">
        <f t="shared" si="3"/>
        <v>1.0000001032006316</v>
      </c>
      <c r="O13" s="65"/>
    </row>
    <row r="14" spans="1:15" ht="21" x14ac:dyDescent="0.4">
      <c r="A14" s="80">
        <v>7</v>
      </c>
      <c r="B14" s="97"/>
      <c r="C14" s="98"/>
      <c r="D14" s="99">
        <f t="shared" si="4"/>
        <v>0</v>
      </c>
      <c r="E14" s="81"/>
      <c r="F14" s="81"/>
      <c r="G14" s="254">
        <f t="shared" si="5"/>
        <v>200</v>
      </c>
      <c r="H14" s="85">
        <f t="shared" si="2"/>
        <v>0.33158308596281405</v>
      </c>
      <c r="I14" s="254">
        <f t="shared" si="7"/>
        <v>150</v>
      </c>
      <c r="J14" s="85">
        <f t="shared" si="6"/>
        <v>0.54838130405119223</v>
      </c>
      <c r="K14" s="95">
        <v>97.380382003022021</v>
      </c>
      <c r="L14" s="85">
        <f t="shared" si="0"/>
        <v>1.6538277350874628</v>
      </c>
      <c r="M14" s="85">
        <f t="shared" si="1"/>
        <v>0.67565406151624174</v>
      </c>
      <c r="N14" s="255">
        <f t="shared" si="3"/>
        <v>1.0000001379306893</v>
      </c>
      <c r="O14" s="65"/>
    </row>
    <row r="15" spans="1:15" ht="21" x14ac:dyDescent="0.4">
      <c r="A15" s="80">
        <v>8</v>
      </c>
      <c r="B15" s="97"/>
      <c r="C15" s="98"/>
      <c r="D15" s="99">
        <f>+B15*C15</f>
        <v>0</v>
      </c>
      <c r="E15" s="81"/>
      <c r="F15" s="81"/>
      <c r="G15" s="254">
        <f t="shared" si="5"/>
        <v>200</v>
      </c>
      <c r="H15" s="85">
        <f t="shared" si="2"/>
        <v>0.2352943385155411</v>
      </c>
      <c r="I15" s="254">
        <f t="shared" si="7"/>
        <v>150</v>
      </c>
      <c r="J15" s="85">
        <f t="shared" si="6"/>
        <v>0.42687086071548624</v>
      </c>
      <c r="K15" s="95">
        <v>100.77813705143318</v>
      </c>
      <c r="L15" s="85">
        <f t="shared" si="0"/>
        <v>1.8141994550680258</v>
      </c>
      <c r="M15" s="85">
        <f t="shared" si="1"/>
        <v>0.74947664726193031</v>
      </c>
      <c r="N15" s="255">
        <f t="shared" si="3"/>
        <v>1.0000001387273709</v>
      </c>
      <c r="O15" s="65"/>
    </row>
    <row r="16" spans="1:15" ht="21" x14ac:dyDescent="0.4">
      <c r="A16" s="80">
        <v>9</v>
      </c>
      <c r="B16" s="97"/>
      <c r="C16" s="98"/>
      <c r="D16" s="99">
        <f t="shared" si="4"/>
        <v>0</v>
      </c>
      <c r="E16" s="81"/>
      <c r="F16" s="81"/>
      <c r="G16" s="254">
        <f t="shared" si="5"/>
        <v>200</v>
      </c>
      <c r="H16" s="85">
        <f t="shared" si="2"/>
        <v>0.15083310429863966</v>
      </c>
      <c r="I16" s="254">
        <f t="shared" si="7"/>
        <v>150</v>
      </c>
      <c r="J16" s="85">
        <f>+(I15*J15+G15*H15-B15*C15-G14*H14)/I16</f>
        <v>0.29848586411912226</v>
      </c>
      <c r="K16" s="95">
        <v>104.03548335133343</v>
      </c>
      <c r="L16" s="85">
        <f t="shared" si="0"/>
        <v>1.9789148112216786</v>
      </c>
      <c r="M16" s="85">
        <f t="shared" si="1"/>
        <v>0.82612034188177019</v>
      </c>
      <c r="N16" s="255">
        <f t="shared" si="3"/>
        <v>1.0000001085669774</v>
      </c>
      <c r="O16" s="65"/>
    </row>
    <row r="17" spans="1:15" ht="21.6" thickBot="1" x14ac:dyDescent="0.45">
      <c r="A17" s="80">
        <v>10</v>
      </c>
      <c r="B17" s="100"/>
      <c r="C17" s="101"/>
      <c r="D17" s="102">
        <f t="shared" si="4"/>
        <v>0</v>
      </c>
      <c r="E17" s="81"/>
      <c r="F17" s="81"/>
      <c r="G17" s="254">
        <f t="shared" si="5"/>
        <v>200</v>
      </c>
      <c r="H17" s="85">
        <f t="shared" si="2"/>
        <v>8.7676320285258111E-2</v>
      </c>
      <c r="I17" s="254">
        <f t="shared" si="7"/>
        <v>150</v>
      </c>
      <c r="J17" s="85">
        <f t="shared" si="6"/>
        <v>0.18587088516325367</v>
      </c>
      <c r="K17" s="95">
        <v>106.6635505607801</v>
      </c>
      <c r="L17" s="85">
        <f t="shared" si="0"/>
        <v>2.11996676592398</v>
      </c>
      <c r="M17" s="85">
        <f t="shared" si="1"/>
        <v>0.89236865003434318</v>
      </c>
      <c r="N17" s="255">
        <f t="shared" si="3"/>
        <v>1.0000000721398468</v>
      </c>
      <c r="O17" s="65"/>
    </row>
    <row r="18" spans="1:15" ht="22.2" thickTop="1" thickBot="1" x14ac:dyDescent="0.45">
      <c r="A18" s="80" t="s">
        <v>167</v>
      </c>
      <c r="B18" s="81"/>
      <c r="C18" s="81"/>
      <c r="D18" s="81"/>
      <c r="E18" s="81"/>
      <c r="F18" s="81"/>
      <c r="G18" s="254">
        <f t="shared" si="5"/>
        <v>50</v>
      </c>
      <c r="H18" s="85">
        <f t="shared" si="2"/>
        <v>4.5719730206099374E-2</v>
      </c>
      <c r="I18" s="254">
        <f t="shared" si="7"/>
        <v>150</v>
      </c>
      <c r="J18" s="85">
        <f t="shared" si="6"/>
        <v>0.1016618398120783</v>
      </c>
      <c r="K18" s="103">
        <v>108.51024544707965</v>
      </c>
      <c r="L18" s="85">
        <f t="shared" si="0"/>
        <v>2.2235879204404361</v>
      </c>
      <c r="M18" s="85">
        <f t="shared" si="1"/>
        <v>0.94137765107777305</v>
      </c>
      <c r="N18" s="255">
        <f t="shared" si="3"/>
        <v>1.0000000439138064</v>
      </c>
      <c r="O18" s="65"/>
    </row>
    <row r="19" spans="1:15" ht="25.2" thickTop="1" x14ac:dyDescent="0.55000000000000004">
      <c r="A19" s="80"/>
      <c r="B19" s="81"/>
      <c r="C19" s="81"/>
      <c r="D19" s="81"/>
      <c r="E19" s="81"/>
      <c r="F19" s="81"/>
      <c r="G19" s="104" t="s">
        <v>112</v>
      </c>
      <c r="H19" s="85">
        <f>+(SUM(D7:D17)-E7*F7)/G18</f>
        <v>4.5719761704798148E-2</v>
      </c>
      <c r="I19" s="105"/>
      <c r="J19" s="105"/>
      <c r="K19" s="81"/>
      <c r="L19" s="81"/>
      <c r="M19" s="81"/>
      <c r="N19" s="256"/>
      <c r="O19" s="65"/>
    </row>
    <row r="20" spans="1:15" ht="21.6" thickBot="1" x14ac:dyDescent="0.45">
      <c r="A20" s="108"/>
      <c r="B20" s="109"/>
      <c r="C20" s="109"/>
      <c r="D20" s="109"/>
      <c r="E20" s="109"/>
      <c r="F20" s="109"/>
      <c r="G20" s="110" t="s">
        <v>65</v>
      </c>
      <c r="H20" s="111">
        <f>+H18-H19</f>
        <v>-3.1498698774279354E-8</v>
      </c>
      <c r="I20" s="112"/>
      <c r="J20" s="112"/>
      <c r="K20" s="109"/>
      <c r="L20" s="109"/>
      <c r="M20" s="109"/>
      <c r="N20" s="257"/>
      <c r="O20" s="65"/>
    </row>
    <row r="21" spans="1:15" ht="22.2" thickTop="1" thickBot="1" x14ac:dyDescent="0.45">
      <c r="A21" s="115"/>
      <c r="B21" s="115"/>
      <c r="C21" s="115"/>
      <c r="D21" s="115"/>
      <c r="E21" s="115"/>
      <c r="F21" s="115"/>
      <c r="G21" s="116"/>
      <c r="H21" s="117"/>
      <c r="I21" s="118"/>
      <c r="J21" s="118"/>
      <c r="K21" s="115"/>
      <c r="L21" s="115"/>
      <c r="M21" s="115"/>
      <c r="N21" s="115"/>
      <c r="O21" s="65"/>
    </row>
    <row r="22" spans="1:15" ht="21.6" thickTop="1" x14ac:dyDescent="0.4">
      <c r="A22" s="119" t="s">
        <v>5</v>
      </c>
      <c r="B22" s="120"/>
      <c r="C22" s="120"/>
      <c r="D22" s="121"/>
      <c r="E22" s="65"/>
      <c r="F22" s="258" t="s">
        <v>168</v>
      </c>
      <c r="G22" s="120"/>
      <c r="H22" s="120"/>
      <c r="I22" s="120"/>
      <c r="J22" s="120"/>
      <c r="K22" s="120"/>
      <c r="L22" s="120"/>
      <c r="M22" s="120"/>
      <c r="N22" s="121"/>
      <c r="O22" s="65"/>
    </row>
    <row r="23" spans="1:15" ht="21" x14ac:dyDescent="0.4">
      <c r="A23" s="127"/>
      <c r="B23" s="128" t="s">
        <v>8</v>
      </c>
      <c r="C23" s="128" t="s">
        <v>9</v>
      </c>
      <c r="D23" s="129" t="s">
        <v>10</v>
      </c>
      <c r="E23" s="65"/>
      <c r="F23" s="127" t="s">
        <v>169</v>
      </c>
      <c r="G23" s="166"/>
      <c r="H23" s="166"/>
      <c r="I23" s="166"/>
      <c r="J23" s="166"/>
      <c r="K23" s="166"/>
      <c r="L23" s="166"/>
      <c r="M23" s="166"/>
      <c r="N23" s="259"/>
      <c r="O23" s="65"/>
    </row>
    <row r="24" spans="1:15" ht="24.6" x14ac:dyDescent="0.55000000000000004">
      <c r="A24" s="127" t="s">
        <v>6</v>
      </c>
      <c r="B24" s="128">
        <v>6.8927199999999997</v>
      </c>
      <c r="C24" s="128">
        <v>1203.5309999999999</v>
      </c>
      <c r="D24" s="129">
        <v>219.88800000000001</v>
      </c>
      <c r="E24" s="124"/>
      <c r="F24" s="127" t="s">
        <v>174</v>
      </c>
      <c r="G24" s="166"/>
      <c r="H24" s="166"/>
      <c r="I24" s="166"/>
      <c r="J24" s="166"/>
      <c r="K24" s="128"/>
      <c r="L24" s="128"/>
      <c r="M24" s="166"/>
      <c r="N24" s="259"/>
      <c r="O24" s="65"/>
    </row>
    <row r="25" spans="1:15" ht="21.6" thickBot="1" x14ac:dyDescent="0.45">
      <c r="A25" s="142" t="s">
        <v>7</v>
      </c>
      <c r="B25" s="143">
        <v>6.9580500000000001</v>
      </c>
      <c r="C25" s="143">
        <v>1346.7729999999999</v>
      </c>
      <c r="D25" s="213">
        <v>219.69300000000001</v>
      </c>
      <c r="E25" s="124"/>
      <c r="F25" s="127" t="s">
        <v>170</v>
      </c>
      <c r="G25" s="166"/>
      <c r="H25" s="166"/>
      <c r="I25" s="166"/>
      <c r="J25" s="166"/>
      <c r="K25" s="166"/>
      <c r="L25" s="166"/>
      <c r="M25" s="166"/>
      <c r="N25" s="259"/>
      <c r="O25" s="65"/>
    </row>
    <row r="26" spans="1:15" ht="22.2" thickTop="1" thickBot="1" x14ac:dyDescent="0.45">
      <c r="A26" s="118"/>
      <c r="B26" s="115"/>
      <c r="C26" s="115"/>
      <c r="D26" s="115"/>
      <c r="E26" s="124"/>
      <c r="F26" s="260" t="s">
        <v>171</v>
      </c>
      <c r="G26" s="167"/>
      <c r="H26" s="167"/>
      <c r="I26" s="167"/>
      <c r="J26" s="167"/>
      <c r="K26" s="167"/>
      <c r="L26" s="167"/>
      <c r="M26" s="167"/>
      <c r="N26" s="168"/>
      <c r="O26" s="65"/>
    </row>
    <row r="27" spans="1:15" ht="22.2" thickTop="1" thickBot="1" x14ac:dyDescent="0.45">
      <c r="A27" s="65"/>
      <c r="B27" s="65"/>
      <c r="C27" s="65"/>
      <c r="D27" s="65"/>
      <c r="E27" s="65"/>
      <c r="F27" s="65"/>
      <c r="G27" s="65"/>
      <c r="H27" s="65"/>
      <c r="I27" s="65"/>
      <c r="J27" s="124"/>
      <c r="K27" s="65"/>
      <c r="L27" s="65"/>
      <c r="M27" s="65"/>
      <c r="N27" s="65"/>
      <c r="O27" s="65"/>
    </row>
    <row r="28" spans="1:15" ht="21.6" thickTop="1" x14ac:dyDescent="0.4">
      <c r="A28" s="119" t="s">
        <v>172</v>
      </c>
      <c r="B28" s="120"/>
      <c r="C28" s="153"/>
      <c r="D28" s="65"/>
      <c r="E28" s="315" t="s">
        <v>36</v>
      </c>
      <c r="F28" s="316"/>
      <c r="G28" s="65"/>
      <c r="H28" s="119" t="s">
        <v>2</v>
      </c>
      <c r="I28" s="120"/>
      <c r="J28" s="120"/>
      <c r="K28" s="120"/>
      <c r="L28" s="194"/>
      <c r="M28" s="195"/>
      <c r="N28" s="65"/>
      <c r="O28" s="65"/>
    </row>
    <row r="29" spans="1:15" ht="21" x14ac:dyDescent="0.4">
      <c r="A29" s="155" t="s">
        <v>173</v>
      </c>
      <c r="B29" s="128" t="s">
        <v>34</v>
      </c>
      <c r="C29" s="129" t="s">
        <v>33</v>
      </c>
      <c r="D29" s="125"/>
      <c r="E29" s="155" t="s">
        <v>3</v>
      </c>
      <c r="F29" s="129" t="s">
        <v>4</v>
      </c>
      <c r="G29" s="65"/>
      <c r="H29" s="155" t="s">
        <v>1</v>
      </c>
      <c r="I29" s="128" t="s">
        <v>19</v>
      </c>
      <c r="J29" s="128" t="s">
        <v>20</v>
      </c>
      <c r="K29" s="128" t="s">
        <v>12</v>
      </c>
      <c r="L29" s="128" t="s">
        <v>3</v>
      </c>
      <c r="M29" s="129" t="s">
        <v>4</v>
      </c>
      <c r="N29" s="65"/>
      <c r="O29" s="65"/>
    </row>
    <row r="30" spans="1:15" ht="21" x14ac:dyDescent="0.4">
      <c r="A30" s="155">
        <v>0</v>
      </c>
      <c r="B30" s="156">
        <f>+($B$3/($B$3+1))*A30+(1/(1+$B$3))*$F$7</f>
        <v>0.31809341276506731</v>
      </c>
      <c r="C30" s="157">
        <f>+($G$17/$I$18)*A30-($G$18/$I$18)*$H$18</f>
        <v>-1.5239910068699791E-2</v>
      </c>
      <c r="D30" s="211"/>
      <c r="E30" s="158">
        <f>+H7</f>
        <v>0.95428023829520192</v>
      </c>
      <c r="F30" s="157">
        <f>+J8</f>
        <v>0.95428023829520192</v>
      </c>
      <c r="G30" s="65"/>
      <c r="H30" s="159" t="s">
        <v>21</v>
      </c>
      <c r="I30" s="160">
        <f t="shared" ref="I30:I41" si="8">+G7</f>
        <v>100</v>
      </c>
      <c r="J30" s="160">
        <v>0</v>
      </c>
      <c r="K30" s="162">
        <f t="shared" ref="K30:K41" si="9">+K7</f>
        <v>81.029557082400501</v>
      </c>
      <c r="L30" s="262">
        <f>+H7</f>
        <v>0.95428023829520192</v>
      </c>
      <c r="M30" s="263">
        <f>+J7</f>
        <v>0</v>
      </c>
      <c r="N30" s="65"/>
      <c r="O30" s="65"/>
    </row>
    <row r="31" spans="1:15" ht="21" x14ac:dyDescent="0.4">
      <c r="A31" s="155">
        <v>0.1</v>
      </c>
      <c r="B31" s="156">
        <f t="shared" ref="B31:B40" si="10">+($B$3/($B$3+1))*A31+(1/(1+$B$3))*$F$7</f>
        <v>0.38476007943173396</v>
      </c>
      <c r="C31" s="157">
        <f t="shared" ref="C31:C40" si="11">+($G$17/$I$18)*A31-($G$18/$I$18)*$H$18</f>
        <v>0.11809342326463354</v>
      </c>
      <c r="D31" s="65"/>
      <c r="E31" s="158">
        <f>+H8</f>
        <v>0.89003191769879952</v>
      </c>
      <c r="F31" s="157">
        <f>+J8</f>
        <v>0.95428023829520192</v>
      </c>
      <c r="G31" s="65"/>
      <c r="H31" s="159" t="s">
        <v>22</v>
      </c>
      <c r="I31" s="160">
        <f t="shared" si="8"/>
        <v>100</v>
      </c>
      <c r="J31" s="160">
        <f t="shared" ref="J31:J41" si="12">+I8</f>
        <v>150</v>
      </c>
      <c r="K31" s="162">
        <f t="shared" si="9"/>
        <v>82.382469290930004</v>
      </c>
      <c r="L31" s="262">
        <f t="shared" ref="L31:L41" si="13">+H8</f>
        <v>0.89003191769879952</v>
      </c>
      <c r="M31" s="263">
        <f t="shared" ref="M31:M41" si="14">+J8</f>
        <v>0.95428023829520192</v>
      </c>
      <c r="N31" s="65"/>
      <c r="O31" s="65"/>
    </row>
    <row r="32" spans="1:15" ht="21" x14ac:dyDescent="0.4">
      <c r="A32" s="155">
        <v>0.2</v>
      </c>
      <c r="B32" s="156">
        <f t="shared" si="10"/>
        <v>0.45142674609840061</v>
      </c>
      <c r="C32" s="157">
        <f t="shared" si="11"/>
        <v>0.25142675659796687</v>
      </c>
      <c r="D32" s="65"/>
      <c r="E32" s="158">
        <f>+H8</f>
        <v>0.89003191769879952</v>
      </c>
      <c r="F32" s="157">
        <f>+J9</f>
        <v>0.91144802456426699</v>
      </c>
      <c r="G32" s="65"/>
      <c r="H32" s="159" t="s">
        <v>23</v>
      </c>
      <c r="I32" s="160">
        <f t="shared" si="8"/>
        <v>100</v>
      </c>
      <c r="J32" s="160">
        <f t="shared" si="12"/>
        <v>150</v>
      </c>
      <c r="K32" s="162">
        <f t="shared" si="9"/>
        <v>84.364600718395764</v>
      </c>
      <c r="L32" s="262">
        <f t="shared" si="13"/>
        <v>0.80079651031873944</v>
      </c>
      <c r="M32" s="263">
        <f t="shared" si="14"/>
        <v>0.91144802456426699</v>
      </c>
      <c r="N32" s="65"/>
      <c r="O32" s="65"/>
    </row>
    <row r="33" spans="1:15" ht="21" x14ac:dyDescent="0.4">
      <c r="A33" s="155">
        <v>0.3</v>
      </c>
      <c r="B33" s="156">
        <f t="shared" si="10"/>
        <v>0.51809341276506726</v>
      </c>
      <c r="C33" s="157">
        <f t="shared" si="11"/>
        <v>0.38476008993130018</v>
      </c>
      <c r="D33" s="65"/>
      <c r="E33" s="158">
        <f>+H9</f>
        <v>0.80079651031873944</v>
      </c>
      <c r="F33" s="157">
        <f>+J9</f>
        <v>0.91144802456426699</v>
      </c>
      <c r="G33" s="65"/>
      <c r="H33" s="159" t="s">
        <v>24</v>
      </c>
      <c r="I33" s="160">
        <f t="shared" si="8"/>
        <v>100</v>
      </c>
      <c r="J33" s="160">
        <f t="shared" si="12"/>
        <v>150</v>
      </c>
      <c r="K33" s="162">
        <f t="shared" si="9"/>
        <v>86.911347844252276</v>
      </c>
      <c r="L33" s="262">
        <f t="shared" si="13"/>
        <v>0.69402004045995358</v>
      </c>
      <c r="M33" s="263">
        <f t="shared" si="14"/>
        <v>0.85195775297756049</v>
      </c>
      <c r="N33" s="65"/>
      <c r="O33" s="65"/>
    </row>
    <row r="34" spans="1:15" ht="21" x14ac:dyDescent="0.4">
      <c r="A34" s="155">
        <v>0.4</v>
      </c>
      <c r="B34" s="156">
        <f t="shared" si="10"/>
        <v>0.58476007943173403</v>
      </c>
      <c r="C34" s="157">
        <f t="shared" si="11"/>
        <v>0.51809342326463348</v>
      </c>
      <c r="D34" s="65"/>
      <c r="E34" s="158">
        <f>+H9</f>
        <v>0.80079651031873944</v>
      </c>
      <c r="F34" s="157">
        <f>+J10</f>
        <v>0.85195775297756049</v>
      </c>
      <c r="G34" s="65"/>
      <c r="H34" s="159" t="s">
        <v>25</v>
      </c>
      <c r="I34" s="160">
        <f t="shared" si="8"/>
        <v>100</v>
      </c>
      <c r="J34" s="160">
        <f t="shared" si="12"/>
        <v>150</v>
      </c>
      <c r="K34" s="162">
        <f t="shared" si="9"/>
        <v>89.698646628706015</v>
      </c>
      <c r="L34" s="262">
        <f t="shared" si="13"/>
        <v>0.5863545886244077</v>
      </c>
      <c r="M34" s="263">
        <f t="shared" si="14"/>
        <v>0.78077343973836977</v>
      </c>
      <c r="N34" s="65"/>
      <c r="O34" s="65"/>
    </row>
    <row r="35" spans="1:15" ht="21" x14ac:dyDescent="0.4">
      <c r="A35" s="155">
        <v>0.5</v>
      </c>
      <c r="B35" s="156">
        <f t="shared" si="10"/>
        <v>0.65142674609840068</v>
      </c>
      <c r="C35" s="157">
        <f t="shared" si="11"/>
        <v>0.65142675659796678</v>
      </c>
      <c r="D35" s="65"/>
      <c r="E35" s="158">
        <f>+H10</f>
        <v>0.69402004045995358</v>
      </c>
      <c r="F35" s="157">
        <f>+J10</f>
        <v>0.85195775297756049</v>
      </c>
      <c r="G35" s="65"/>
      <c r="H35" s="159" t="s">
        <v>26</v>
      </c>
      <c r="I35" s="160">
        <f t="shared" si="8"/>
        <v>200</v>
      </c>
      <c r="J35" s="160">
        <f t="shared" si="12"/>
        <v>150</v>
      </c>
      <c r="K35" s="162">
        <f t="shared" si="9"/>
        <v>92.274670628161672</v>
      </c>
      <c r="L35" s="262">
        <f t="shared" si="13"/>
        <v>0.49453685094338046</v>
      </c>
      <c r="M35" s="263">
        <f t="shared" si="14"/>
        <v>0.70899647184800596</v>
      </c>
      <c r="N35" s="65"/>
      <c r="O35" s="65"/>
    </row>
    <row r="36" spans="1:15" ht="21" x14ac:dyDescent="0.4">
      <c r="A36" s="155">
        <v>0.6</v>
      </c>
      <c r="B36" s="156">
        <f t="shared" si="10"/>
        <v>0.71809341276506733</v>
      </c>
      <c r="C36" s="157">
        <f t="shared" si="11"/>
        <v>0.78476008993130009</v>
      </c>
      <c r="D36" s="65"/>
      <c r="E36" s="158">
        <f>+H10</f>
        <v>0.69402004045995358</v>
      </c>
      <c r="F36" s="157">
        <f>+J11</f>
        <v>0.78077343973836977</v>
      </c>
      <c r="G36" s="65"/>
      <c r="H36" s="159" t="s">
        <v>27</v>
      </c>
      <c r="I36" s="160">
        <f t="shared" si="8"/>
        <v>200</v>
      </c>
      <c r="J36" s="160">
        <f t="shared" si="12"/>
        <v>150</v>
      </c>
      <c r="K36" s="162">
        <f t="shared" si="9"/>
        <v>94.434141337462577</v>
      </c>
      <c r="L36" s="262">
        <f t="shared" si="13"/>
        <v>0.42271591846459361</v>
      </c>
      <c r="M36" s="263">
        <f t="shared" si="14"/>
        <v>0.64414254735624143</v>
      </c>
      <c r="N36" s="65"/>
      <c r="O36" s="65"/>
    </row>
    <row r="37" spans="1:15" ht="21" x14ac:dyDescent="0.4">
      <c r="A37" s="155">
        <v>0.7</v>
      </c>
      <c r="B37" s="156">
        <f t="shared" si="10"/>
        <v>0.78476007943173398</v>
      </c>
      <c r="C37" s="157">
        <f t="shared" si="11"/>
        <v>0.91809342326463339</v>
      </c>
      <c r="D37" s="65"/>
      <c r="E37" s="158">
        <f>+H11</f>
        <v>0.5863545886244077</v>
      </c>
      <c r="F37" s="157">
        <f>+J11</f>
        <v>0.78077343973836977</v>
      </c>
      <c r="G37" s="65"/>
      <c r="H37" s="159" t="s">
        <v>28</v>
      </c>
      <c r="I37" s="160">
        <f t="shared" si="8"/>
        <v>200</v>
      </c>
      <c r="J37" s="160">
        <f t="shared" si="12"/>
        <v>150</v>
      </c>
      <c r="K37" s="162">
        <f t="shared" si="9"/>
        <v>97.380382003022021</v>
      </c>
      <c r="L37" s="262">
        <f t="shared" si="13"/>
        <v>0.33158308596281405</v>
      </c>
      <c r="M37" s="263">
        <f t="shared" si="14"/>
        <v>0.54838130405119223</v>
      </c>
      <c r="N37" s="65"/>
      <c r="O37" s="65"/>
    </row>
    <row r="38" spans="1:15" ht="21" x14ac:dyDescent="0.4">
      <c r="A38" s="155">
        <v>0.8</v>
      </c>
      <c r="B38" s="156">
        <f t="shared" si="10"/>
        <v>0.85142674609840063</v>
      </c>
      <c r="C38" s="157">
        <f t="shared" si="11"/>
        <v>1.0514267565979669</v>
      </c>
      <c r="D38" s="65"/>
      <c r="E38" s="158">
        <f>+H11</f>
        <v>0.5863545886244077</v>
      </c>
      <c r="F38" s="157">
        <f>+J12</f>
        <v>0.70899647184800596</v>
      </c>
      <c r="G38" s="65"/>
      <c r="H38" s="159" t="s">
        <v>29</v>
      </c>
      <c r="I38" s="160">
        <f t="shared" si="8"/>
        <v>200</v>
      </c>
      <c r="J38" s="160">
        <f t="shared" si="12"/>
        <v>150</v>
      </c>
      <c r="K38" s="162">
        <f t="shared" si="9"/>
        <v>100.77813705143318</v>
      </c>
      <c r="L38" s="262">
        <f t="shared" si="13"/>
        <v>0.2352943385155411</v>
      </c>
      <c r="M38" s="263">
        <f t="shared" si="14"/>
        <v>0.42687086071548624</v>
      </c>
      <c r="N38" s="65"/>
      <c r="O38" s="65"/>
    </row>
    <row r="39" spans="1:15" ht="21" x14ac:dyDescent="0.4">
      <c r="A39" s="155">
        <v>0.9</v>
      </c>
      <c r="B39" s="156">
        <f t="shared" si="10"/>
        <v>0.91809341276506728</v>
      </c>
      <c r="C39" s="157">
        <f t="shared" si="11"/>
        <v>1.1847600899313002</v>
      </c>
      <c r="D39" s="65"/>
      <c r="E39" s="158">
        <f>+H12</f>
        <v>0.49453685094338046</v>
      </c>
      <c r="F39" s="157">
        <f>+J12</f>
        <v>0.70899647184800596</v>
      </c>
      <c r="G39" s="65"/>
      <c r="H39" s="159" t="s">
        <v>30</v>
      </c>
      <c r="I39" s="160">
        <f t="shared" si="8"/>
        <v>200</v>
      </c>
      <c r="J39" s="160">
        <f t="shared" si="12"/>
        <v>150</v>
      </c>
      <c r="K39" s="162">
        <f t="shared" si="9"/>
        <v>104.03548335133343</v>
      </c>
      <c r="L39" s="262">
        <f t="shared" si="13"/>
        <v>0.15083310429863966</v>
      </c>
      <c r="M39" s="263">
        <f t="shared" si="14"/>
        <v>0.29848586411912226</v>
      </c>
      <c r="N39" s="65"/>
      <c r="O39" s="65"/>
    </row>
    <row r="40" spans="1:15" ht="21.6" thickBot="1" x14ac:dyDescent="0.45">
      <c r="A40" s="212">
        <v>1</v>
      </c>
      <c r="B40" s="186">
        <f t="shared" si="10"/>
        <v>0.98476007943173394</v>
      </c>
      <c r="C40" s="187">
        <f t="shared" si="11"/>
        <v>1.3180934232646335</v>
      </c>
      <c r="D40" s="65"/>
      <c r="E40" s="158">
        <f>+H12</f>
        <v>0.49453685094338046</v>
      </c>
      <c r="F40" s="157">
        <f>+J13</f>
        <v>0.64414254735624143</v>
      </c>
      <c r="G40" s="65"/>
      <c r="H40" s="159" t="s">
        <v>31</v>
      </c>
      <c r="I40" s="160">
        <f t="shared" si="8"/>
        <v>200</v>
      </c>
      <c r="J40" s="160">
        <f t="shared" si="12"/>
        <v>150</v>
      </c>
      <c r="K40" s="162">
        <f t="shared" si="9"/>
        <v>106.6635505607801</v>
      </c>
      <c r="L40" s="262">
        <f t="shared" si="13"/>
        <v>8.7676320285258111E-2</v>
      </c>
      <c r="M40" s="263">
        <f t="shared" si="14"/>
        <v>0.18587088516325367</v>
      </c>
      <c r="N40" s="65"/>
      <c r="O40" s="65"/>
    </row>
    <row r="41" spans="1:15" ht="22.2" thickTop="1" thickBot="1" x14ac:dyDescent="0.45">
      <c r="A41" s="65"/>
      <c r="B41" s="65"/>
      <c r="C41" s="65"/>
      <c r="D41" s="65"/>
      <c r="E41" s="158">
        <f>+H13</f>
        <v>0.42271591846459361</v>
      </c>
      <c r="F41" s="157">
        <f>+J13</f>
        <v>0.64414254735624143</v>
      </c>
      <c r="G41" s="65"/>
      <c r="H41" s="188" t="s">
        <v>0</v>
      </c>
      <c r="I41" s="189">
        <f t="shared" si="8"/>
        <v>50</v>
      </c>
      <c r="J41" s="189">
        <f t="shared" si="12"/>
        <v>150</v>
      </c>
      <c r="K41" s="191">
        <f t="shared" si="9"/>
        <v>108.51024544707965</v>
      </c>
      <c r="L41" s="264">
        <f t="shared" si="13"/>
        <v>4.5719730206099374E-2</v>
      </c>
      <c r="M41" s="265">
        <f t="shared" si="14"/>
        <v>0.1016618398120783</v>
      </c>
      <c r="N41" s="65"/>
      <c r="O41" s="65"/>
    </row>
    <row r="42" spans="1:15" ht="21.6" thickTop="1" x14ac:dyDescent="0.4">
      <c r="A42" s="193" t="s">
        <v>35</v>
      </c>
      <c r="B42" s="194" t="s">
        <v>3</v>
      </c>
      <c r="C42" s="195" t="s">
        <v>4</v>
      </c>
      <c r="D42" s="65"/>
      <c r="E42" s="158">
        <f>+H13</f>
        <v>0.42271591846459361</v>
      </c>
      <c r="F42" s="157">
        <f>+J14</f>
        <v>0.54838130405119223</v>
      </c>
      <c r="G42" s="65"/>
      <c r="H42" s="65"/>
      <c r="I42" s="65"/>
      <c r="J42" s="65"/>
      <c r="K42" s="65"/>
      <c r="L42" s="65"/>
      <c r="M42" s="261"/>
      <c r="N42" s="65"/>
      <c r="O42" s="65"/>
    </row>
    <row r="43" spans="1:15" ht="21" x14ac:dyDescent="0.4">
      <c r="A43" s="155"/>
      <c r="B43" s="128">
        <f>+SUM(C8:C17)</f>
        <v>0.5</v>
      </c>
      <c r="C43" s="129">
        <v>0</v>
      </c>
      <c r="D43" s="65"/>
      <c r="E43" s="158">
        <f>+H14</f>
        <v>0.33158308596281405</v>
      </c>
      <c r="F43" s="157">
        <f>+J14</f>
        <v>0.54838130405119223</v>
      </c>
      <c r="G43" s="65"/>
      <c r="H43" s="65"/>
      <c r="I43" s="65"/>
      <c r="J43" s="65"/>
      <c r="K43" s="65"/>
      <c r="L43" s="65"/>
      <c r="M43" s="65"/>
      <c r="N43" s="65"/>
      <c r="O43" s="65"/>
    </row>
    <row r="44" spans="1:15" ht="21.6" thickBot="1" x14ac:dyDescent="0.45">
      <c r="A44" s="212"/>
      <c r="B44" s="143">
        <f>+SUM(C8:C17)</f>
        <v>0.5</v>
      </c>
      <c r="C44" s="213">
        <v>1</v>
      </c>
      <c r="D44" s="65"/>
      <c r="E44" s="158">
        <f>+H14</f>
        <v>0.33158308596281405</v>
      </c>
      <c r="F44" s="157">
        <f>+J15</f>
        <v>0.42687086071548624</v>
      </c>
      <c r="G44" s="65"/>
      <c r="H44" s="65"/>
      <c r="I44" s="65"/>
      <c r="J44" s="65"/>
      <c r="K44" s="65"/>
      <c r="L44" s="65"/>
      <c r="M44" s="65"/>
      <c r="N44" s="65"/>
      <c r="O44" s="65"/>
    </row>
    <row r="45" spans="1:15" ht="22.2" thickTop="1" thickBot="1" x14ac:dyDescent="0.45">
      <c r="A45" s="211"/>
      <c r="B45" s="211"/>
      <c r="C45" s="211"/>
      <c r="D45" s="65"/>
      <c r="E45" s="158">
        <f>+H15</f>
        <v>0.2352943385155411</v>
      </c>
      <c r="F45" s="157">
        <f>+J15</f>
        <v>0.42687086071548624</v>
      </c>
      <c r="G45" s="65"/>
      <c r="H45" s="65"/>
      <c r="I45" s="65"/>
      <c r="J45" s="65"/>
      <c r="K45" s="65"/>
      <c r="L45" s="65"/>
      <c r="M45" s="65"/>
      <c r="N45" s="65"/>
      <c r="O45" s="65"/>
    </row>
    <row r="46" spans="1:15" ht="24" thickTop="1" x14ac:dyDescent="0.4">
      <c r="A46" s="193" t="s">
        <v>120</v>
      </c>
      <c r="B46" s="196" t="s">
        <v>3</v>
      </c>
      <c r="C46" s="195" t="s">
        <v>4</v>
      </c>
      <c r="D46" s="65"/>
      <c r="E46" s="158">
        <f>+H15</f>
        <v>0.2352943385155411</v>
      </c>
      <c r="F46" s="157">
        <f>+J16</f>
        <v>0.29848586411912226</v>
      </c>
      <c r="G46" s="65"/>
      <c r="H46" s="65"/>
      <c r="I46" s="65"/>
      <c r="J46" s="65"/>
      <c r="K46" s="65"/>
      <c r="L46" s="65"/>
      <c r="M46" s="65"/>
      <c r="N46" s="65"/>
      <c r="O46" s="65"/>
    </row>
    <row r="47" spans="1:15" ht="21" x14ac:dyDescent="0.4">
      <c r="A47" s="155"/>
      <c r="B47" s="128">
        <v>0</v>
      </c>
      <c r="C47" s="129">
        <v>0</v>
      </c>
      <c r="D47" s="65"/>
      <c r="E47" s="158">
        <f>+H16</f>
        <v>0.15083310429863966</v>
      </c>
      <c r="F47" s="157">
        <f>+J16</f>
        <v>0.29848586411912226</v>
      </c>
      <c r="G47" s="65"/>
      <c r="H47" s="65"/>
      <c r="I47" s="65"/>
      <c r="J47" s="65"/>
      <c r="K47" s="65"/>
      <c r="L47" s="65"/>
      <c r="M47" s="65"/>
      <c r="N47" s="65"/>
      <c r="O47" s="65"/>
    </row>
    <row r="48" spans="1:15" ht="21.6" thickBot="1" x14ac:dyDescent="0.45">
      <c r="A48" s="212"/>
      <c r="B48" s="143">
        <v>1</v>
      </c>
      <c r="C48" s="213">
        <v>1</v>
      </c>
      <c r="D48" s="65"/>
      <c r="E48" s="158">
        <f>+H16</f>
        <v>0.15083310429863966</v>
      </c>
      <c r="F48" s="157">
        <f>+J17</f>
        <v>0.18587088516325367</v>
      </c>
      <c r="G48" s="65"/>
      <c r="H48" s="65"/>
      <c r="I48" s="65"/>
      <c r="J48" s="65"/>
      <c r="K48" s="65"/>
      <c r="L48" s="65"/>
      <c r="M48" s="65"/>
      <c r="N48" s="65"/>
      <c r="O48" s="65"/>
    </row>
    <row r="49" spans="1:15" ht="21.6" thickTop="1" x14ac:dyDescent="0.4">
      <c r="A49" s="65"/>
      <c r="B49" s="65"/>
      <c r="C49" s="65"/>
      <c r="D49" s="65"/>
      <c r="E49" s="158">
        <f>+H17</f>
        <v>8.7676320285258111E-2</v>
      </c>
      <c r="F49" s="157">
        <f>+J17</f>
        <v>0.18587088516325367</v>
      </c>
      <c r="G49" s="65"/>
      <c r="H49" s="65"/>
      <c r="I49" s="65"/>
      <c r="J49" s="65"/>
      <c r="K49" s="65"/>
      <c r="L49" s="65"/>
      <c r="M49" s="65"/>
      <c r="N49" s="65"/>
      <c r="O49" s="65"/>
    </row>
    <row r="50" spans="1:15" ht="21" x14ac:dyDescent="0.4">
      <c r="A50" s="65"/>
      <c r="B50" s="206"/>
      <c r="C50" s="65"/>
      <c r="D50" s="65"/>
      <c r="E50" s="158">
        <f>+H17</f>
        <v>8.7676320285258111E-2</v>
      </c>
      <c r="F50" s="157">
        <f>+J18</f>
        <v>0.1016618398120783</v>
      </c>
      <c r="G50" s="65"/>
      <c r="H50" s="65"/>
      <c r="I50" s="65"/>
      <c r="J50" s="65"/>
      <c r="K50" s="65"/>
      <c r="L50" s="65"/>
      <c r="M50" s="65"/>
      <c r="N50" s="65"/>
      <c r="O50" s="65"/>
    </row>
    <row r="51" spans="1:15" ht="21" x14ac:dyDescent="0.4">
      <c r="A51" s="65"/>
      <c r="B51" s="65"/>
      <c r="C51" s="65"/>
      <c r="D51" s="65"/>
      <c r="E51" s="158">
        <f>+H18</f>
        <v>4.5719730206099374E-2</v>
      </c>
      <c r="F51" s="157">
        <f>+J18</f>
        <v>0.1016618398120783</v>
      </c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21.6" thickBot="1" x14ac:dyDescent="0.45">
      <c r="A52" s="65"/>
      <c r="B52" s="65"/>
      <c r="C52" s="65"/>
      <c r="D52" s="65"/>
      <c r="E52" s="207">
        <f>+H18</f>
        <v>4.5719730206099374E-2</v>
      </c>
      <c r="F52" s="187">
        <f>+H19</f>
        <v>4.5719761704798148E-2</v>
      </c>
      <c r="G52" s="65"/>
      <c r="H52" s="65"/>
      <c r="I52" s="65"/>
      <c r="J52" s="65"/>
      <c r="K52" s="65"/>
      <c r="L52" s="65"/>
      <c r="M52" s="65"/>
      <c r="N52" s="65"/>
      <c r="O52" s="65"/>
    </row>
    <row r="53" spans="1:15" ht="13.2" thickTop="1" x14ac:dyDescent="0.2"/>
  </sheetData>
  <mergeCells count="1">
    <mergeCell ref="E28:F28"/>
  </mergeCells>
  <pageMargins left="0.7" right="0.7" top="0.75" bottom="0.75" header="0.3" footer="0.3"/>
  <pageSetup scale="43" orientation="landscape" r:id="rId1"/>
  <ignoredErrors>
    <ignoredError sqref="H30:H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5</vt:i4>
      </vt:variant>
    </vt:vector>
  </HeadingPairs>
  <TitlesOfParts>
    <vt:vector size="11" baseType="lpstr">
      <vt:lpstr>10-Tray</vt:lpstr>
      <vt:lpstr>Flash</vt:lpstr>
      <vt:lpstr>DIY</vt:lpstr>
      <vt:lpstr>VLE</vt:lpstr>
      <vt:lpstr>Txy</vt:lpstr>
      <vt:lpstr>Lewis</vt:lpstr>
      <vt:lpstr>XY with Stair Steps</vt:lpstr>
      <vt:lpstr>Flow</vt:lpstr>
      <vt:lpstr>Temp</vt:lpstr>
      <vt:lpstr>Mole</vt:lpstr>
      <vt:lpstr>xy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Clark</dc:creator>
  <cp:lastModifiedBy>Lane, Alan</cp:lastModifiedBy>
  <cp:lastPrinted>2017-04-03T19:54:14Z</cp:lastPrinted>
  <dcterms:created xsi:type="dcterms:W3CDTF">2012-01-13T18:02:02Z</dcterms:created>
  <dcterms:modified xsi:type="dcterms:W3CDTF">2019-07-01T18:59:03Z</dcterms:modified>
</cp:coreProperties>
</file>