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13_ncr:1_{2DF78626-C4A3-475F-9DA9-15295E737B01}" xr6:coauthVersionLast="44" xr6:coauthVersionMax="44" xr10:uidLastSave="{00000000-0000-0000-0000-000000000000}"/>
  <bookViews>
    <workbookView xWindow="-98" yWindow="-98" windowWidth="24196" windowHeight="13096" tabRatio="834" xr2:uid="{00000000-000D-0000-FFFF-FFFF00000000}"/>
  </bookViews>
  <sheets>
    <sheet name="2-Stage No Recycle" sheetId="16" r:id="rId1"/>
    <sheet name="xy No Recycle" sheetId="20" r:id="rId2"/>
    <sheet name="Txy No Recycle" sheetId="28" r:id="rId3"/>
    <sheet name="2-Stage w Recycle" sheetId="14" r:id="rId4"/>
    <sheet name="xy w Recycle" sheetId="18" r:id="rId5"/>
    <sheet name="Txy w Recycle" sheetId="17" r:id="rId6"/>
    <sheet name="5-Stage" sheetId="24" r:id="rId7"/>
    <sheet name="5-Stage DIY" sheetId="37" r:id="rId8"/>
    <sheet name="xy 5-Stage Streams" sheetId="30" r:id="rId9"/>
    <sheet name="xy 5-Stage Op Lines" sheetId="29" r:id="rId10"/>
    <sheet name="xy 5-Stage Stairs" sheetId="26" r:id="rId11"/>
    <sheet name="VLE" sheetId="1" r:id="rId12"/>
    <sheet name="xy" sheetId="33" r:id="rId13"/>
    <sheet name="Txy" sheetId="34" r:id="rId14"/>
  </sheets>
  <definedNames>
    <definedName name="solver_adj" localSheetId="0" hidden="1">'2-Stage No Recycle'!$C$4:$C$5,'2-Stage No Recycle'!$C$12:$C$13,'2-Stage No Recycle'!$F$9,'2-Stage No Recycle'!$I$12:$I$13,'2-Stage No Recycle'!$F$17,'2-Stage No Recycle'!$I$20:$I$21</definedName>
    <definedName name="solver_adj" localSheetId="3" hidden="1">'2-Stage w Recycle'!$C$4:$C$5,'2-Stage w Recycle'!$C$12:$C$13,'2-Stage w Recycle'!$F$9,'2-Stage w Recycle'!$I$12:$I$13,'2-Stage w Recycle'!$F$17,'2-Stage w Recycle'!$I$20:$I$21</definedName>
    <definedName name="solver_adj" localSheetId="6" hidden="1">'5-Stage'!$I$34,'5-Stage'!$I$4:$I$5,'5-Stage'!$I$7,'5-Stage'!$C$10:$C$11,'5-Stage'!$H$10:$H$11,'5-Stage'!$I$13,'5-Stage'!$C$16:$C$17,'5-Stage'!$H$16:$H$17,'5-Stage'!$I$19,'5-Stage'!$C$22:$C$23,'5-Stage'!$H$22:$H$23,'5-Stage'!$I$25,'5-Stage'!$C$28:$C$29,'5-Stage'!$H$28:$H$29,'5-Stage'!$I$31,'5-Stage'!$I$35</definedName>
    <definedName name="solver_adj" localSheetId="7" hidden="1">'5-Stage DIY'!$I$34,'5-Stage DIY'!$I$4:$I$5,'5-Stage DIY'!$I$7,'5-Stage DIY'!$C$10:$C$11,'5-Stage DIY'!$H$10:$H$11,'5-Stage DIY'!$I$13,'5-Stage DIY'!$C$16:$C$17,'5-Stage DIY'!$H$16:$H$17,'5-Stage DIY'!$I$19,'5-Stage DIY'!$C$22:$C$23,'5-Stage DIY'!$H$22:$H$23,'5-Stage DIY'!$I$25,'5-Stage DIY'!$C$28:$C$29,'5-Stage DIY'!$H$28:$H$29,'5-Stage DIY'!$I$31,'5-Stage DIY'!$I$35</definedName>
    <definedName name="solver_adj" localSheetId="11" hidden="1">VLE!$C$4:$C$104</definedName>
    <definedName name="solver_cvg" localSheetId="0" hidden="1">0.0001</definedName>
    <definedName name="solver_cvg" localSheetId="3" hidden="1">0.0001</definedName>
    <definedName name="solver_cvg" localSheetId="6" hidden="1">0.0001</definedName>
    <definedName name="solver_cvg" localSheetId="7" hidden="1">0.0001</definedName>
    <definedName name="solver_cvg" localSheetId="11" hidden="1">0.0001</definedName>
    <definedName name="solver_drv" localSheetId="0" hidden="1">1</definedName>
    <definedName name="solver_drv" localSheetId="3" hidden="1">1</definedName>
    <definedName name="solver_drv" localSheetId="6" hidden="1">1</definedName>
    <definedName name="solver_drv" localSheetId="7" hidden="1">1</definedName>
    <definedName name="solver_drv" localSheetId="11" hidden="1">1</definedName>
    <definedName name="solver_eng" localSheetId="0" hidden="1">1</definedName>
    <definedName name="solver_eng" localSheetId="3" hidden="1">1</definedName>
    <definedName name="solver_eng" localSheetId="6" hidden="1">1</definedName>
    <definedName name="solver_eng" localSheetId="7" hidden="1">1</definedName>
    <definedName name="solver_eng" localSheetId="11" hidden="1">1</definedName>
    <definedName name="solver_est" localSheetId="0" hidden="1">1</definedName>
    <definedName name="solver_est" localSheetId="3" hidden="1">1</definedName>
    <definedName name="solver_est" localSheetId="6" hidden="1">1</definedName>
    <definedName name="solver_est" localSheetId="7" hidden="1">1</definedName>
    <definedName name="solver_est" localSheetId="11" hidden="1">1</definedName>
    <definedName name="solver_itr" localSheetId="0" hidden="1">2147483647</definedName>
    <definedName name="solver_itr" localSheetId="3" hidden="1">2147483647</definedName>
    <definedName name="solver_itr" localSheetId="6" hidden="1">2147483647</definedName>
    <definedName name="solver_itr" localSheetId="7" hidden="1">2147483647</definedName>
    <definedName name="solver_itr" localSheetId="11" hidden="1">2147483647</definedName>
    <definedName name="solver_lhs1" localSheetId="0" hidden="1">'2-Stage No Recycle'!$M$4:$M$12</definedName>
    <definedName name="solver_lhs1" localSheetId="3" hidden="1">'2-Stage w Recycle'!$M$4:$M$12</definedName>
    <definedName name="solver_lhs1" localSheetId="6" hidden="1">'5-Stage'!$P$13:$T$13</definedName>
    <definedName name="solver_lhs1" localSheetId="7" hidden="1">'5-Stage DIY'!$P$13:$T$13</definedName>
    <definedName name="solver_lhs1" localSheetId="11" hidden="1">VLE!$F$5:$F$104</definedName>
    <definedName name="solver_lhs2" localSheetId="3" hidden="1">'2-Stage w Recycle'!$M$4:$M$12</definedName>
    <definedName name="solver_lhs2" localSheetId="6" hidden="1">'5-Stage'!$P$19:$T$19</definedName>
    <definedName name="solver_lhs2" localSheetId="7" hidden="1">'5-Stage DIY'!$P$19:$T$19</definedName>
    <definedName name="solver_lhs3" localSheetId="6" hidden="1">'5-Stage'!$P$25:$T$25</definedName>
    <definedName name="solver_lhs3" localSheetId="7" hidden="1">'5-Stage DIY'!$P$25:$T$25</definedName>
    <definedName name="solver_lhs4" localSheetId="6" hidden="1">'5-Stage'!$P$31:$T$31</definedName>
    <definedName name="solver_lhs4" localSheetId="7" hidden="1">'5-Stage DIY'!$P$31:$T$31</definedName>
    <definedName name="solver_lhs5" localSheetId="6" hidden="1">'5-Stage'!$Q$7:$T$7</definedName>
    <definedName name="solver_lhs5" localSheetId="7" hidden="1">'5-Stage DIY'!$Q$7:$T$7</definedName>
    <definedName name="solver_mip" localSheetId="0" hidden="1">2147483647</definedName>
    <definedName name="solver_mip" localSheetId="3" hidden="1">2147483647</definedName>
    <definedName name="solver_mip" localSheetId="6" hidden="1">2147483647</definedName>
    <definedName name="solver_mip" localSheetId="7" hidden="1">2147483647</definedName>
    <definedName name="solver_mip" localSheetId="11" hidden="1">2147483647</definedName>
    <definedName name="solver_mni" localSheetId="0" hidden="1">30</definedName>
    <definedName name="solver_mni" localSheetId="3" hidden="1">30</definedName>
    <definedName name="solver_mni" localSheetId="6" hidden="1">30</definedName>
    <definedName name="solver_mni" localSheetId="7" hidden="1">30</definedName>
    <definedName name="solver_mni" localSheetId="11" hidden="1">30</definedName>
    <definedName name="solver_mrt" localSheetId="0" hidden="1">0.075</definedName>
    <definedName name="solver_mrt" localSheetId="3" hidden="1">0.075</definedName>
    <definedName name="solver_mrt" localSheetId="6" hidden="1">0.075</definedName>
    <definedName name="solver_mrt" localSheetId="7" hidden="1">0.075</definedName>
    <definedName name="solver_mrt" localSheetId="11" hidden="1">0.075</definedName>
    <definedName name="solver_msl" localSheetId="0" hidden="1">2</definedName>
    <definedName name="solver_msl" localSheetId="3" hidden="1">2</definedName>
    <definedName name="solver_msl" localSheetId="6" hidden="1">2</definedName>
    <definedName name="solver_msl" localSheetId="7" hidden="1">2</definedName>
    <definedName name="solver_msl" localSheetId="11" hidden="1">2</definedName>
    <definedName name="solver_neg" localSheetId="0" hidden="1">1</definedName>
    <definedName name="solver_neg" localSheetId="3" hidden="1">1</definedName>
    <definedName name="solver_neg" localSheetId="6" hidden="1">1</definedName>
    <definedName name="solver_neg" localSheetId="7" hidden="1">1</definedName>
    <definedName name="solver_neg" localSheetId="11" hidden="1">1</definedName>
    <definedName name="solver_nod" localSheetId="0" hidden="1">2147483647</definedName>
    <definedName name="solver_nod" localSheetId="3" hidden="1">2147483647</definedName>
    <definedName name="solver_nod" localSheetId="6" hidden="1">2147483647</definedName>
    <definedName name="solver_nod" localSheetId="7" hidden="1">2147483647</definedName>
    <definedName name="solver_nod" localSheetId="11" hidden="1">2147483647</definedName>
    <definedName name="solver_num" localSheetId="0" hidden="1">1</definedName>
    <definedName name="solver_num" localSheetId="3" hidden="1">1</definedName>
    <definedName name="solver_num" localSheetId="6" hidden="1">5</definedName>
    <definedName name="solver_num" localSheetId="7" hidden="1">5</definedName>
    <definedName name="solver_num" localSheetId="11" hidden="1">1</definedName>
    <definedName name="solver_nwt" localSheetId="0" hidden="1">1</definedName>
    <definedName name="solver_nwt" localSheetId="3" hidden="1">1</definedName>
    <definedName name="solver_nwt" localSheetId="6" hidden="1">1</definedName>
    <definedName name="solver_nwt" localSheetId="7" hidden="1">1</definedName>
    <definedName name="solver_nwt" localSheetId="11" hidden="1">1</definedName>
    <definedName name="solver_opt" localSheetId="0" hidden="1">'2-Stage No Recycle'!$M$3</definedName>
    <definedName name="solver_opt" localSheetId="3" hidden="1">'2-Stage w Recycle'!$M$3</definedName>
    <definedName name="solver_opt" localSheetId="6" hidden="1">'5-Stage'!$P$7</definedName>
    <definedName name="solver_opt" localSheetId="7" hidden="1">'5-Stage DIY'!$P$7</definedName>
    <definedName name="solver_opt" localSheetId="11" hidden="1">VLE!$F$4</definedName>
    <definedName name="solver_pre" localSheetId="0" hidden="1">0.000001</definedName>
    <definedName name="solver_pre" localSheetId="3" hidden="1">0.000001</definedName>
    <definedName name="solver_pre" localSheetId="6" hidden="1">0.000001</definedName>
    <definedName name="solver_pre" localSheetId="7" hidden="1">0.000001</definedName>
    <definedName name="solver_pre" localSheetId="11" hidden="1">0.000001</definedName>
    <definedName name="solver_rbv" localSheetId="0" hidden="1">1</definedName>
    <definedName name="solver_rbv" localSheetId="3" hidden="1">1</definedName>
    <definedName name="solver_rbv" localSheetId="6" hidden="1">1</definedName>
    <definedName name="solver_rbv" localSheetId="7" hidden="1">1</definedName>
    <definedName name="solver_rbv" localSheetId="11" hidden="1">1</definedName>
    <definedName name="solver_rel1" localSheetId="0" hidden="1">2</definedName>
    <definedName name="solver_rel1" localSheetId="3" hidden="1">2</definedName>
    <definedName name="solver_rel1" localSheetId="6" hidden="1">2</definedName>
    <definedName name="solver_rel1" localSheetId="7" hidden="1">2</definedName>
    <definedName name="solver_rel1" localSheetId="11" hidden="1">2</definedName>
    <definedName name="solver_rel2" localSheetId="3" hidden="1">2</definedName>
    <definedName name="solver_rel2" localSheetId="6" hidden="1">2</definedName>
    <definedName name="solver_rel2" localSheetId="7" hidden="1">2</definedName>
    <definedName name="solver_rel3" localSheetId="6" hidden="1">2</definedName>
    <definedName name="solver_rel3" localSheetId="7" hidden="1">2</definedName>
    <definedName name="solver_rel4" localSheetId="6" hidden="1">2</definedName>
    <definedName name="solver_rel4" localSheetId="7" hidden="1">2</definedName>
    <definedName name="solver_rel5" localSheetId="6" hidden="1">2</definedName>
    <definedName name="solver_rel5" localSheetId="7" hidden="1">2</definedName>
    <definedName name="solver_rhs1" localSheetId="0" hidden="1">0</definedName>
    <definedName name="solver_rhs1" localSheetId="3" hidden="1">0</definedName>
    <definedName name="solver_rhs1" localSheetId="6" hidden="1">0</definedName>
    <definedName name="solver_rhs1" localSheetId="7" hidden="1">0</definedName>
    <definedName name="solver_rhs1" localSheetId="11" hidden="1">0</definedName>
    <definedName name="solver_rhs2" localSheetId="3" hidden="1">0</definedName>
    <definedName name="solver_rhs2" localSheetId="6" hidden="1">0</definedName>
    <definedName name="solver_rhs2" localSheetId="7" hidden="1">0</definedName>
    <definedName name="solver_rhs3" localSheetId="6" hidden="1">0</definedName>
    <definedName name="solver_rhs3" localSheetId="7" hidden="1">0</definedName>
    <definedName name="solver_rhs4" localSheetId="6" hidden="1">0</definedName>
    <definedName name="solver_rhs4" localSheetId="7" hidden="1">0</definedName>
    <definedName name="solver_rhs5" localSheetId="6" hidden="1">0</definedName>
    <definedName name="solver_rhs5" localSheetId="7" hidden="1">0</definedName>
    <definedName name="solver_rlx" localSheetId="0" hidden="1">2</definedName>
    <definedName name="solver_rlx" localSheetId="3" hidden="1">2</definedName>
    <definedName name="solver_rlx" localSheetId="6" hidden="1">2</definedName>
    <definedName name="solver_rlx" localSheetId="7" hidden="1">2</definedName>
    <definedName name="solver_rlx" localSheetId="11" hidden="1">2</definedName>
    <definedName name="solver_rsd" localSheetId="0" hidden="1">0</definedName>
    <definedName name="solver_rsd" localSheetId="3" hidden="1">0</definedName>
    <definedName name="solver_rsd" localSheetId="6" hidden="1">0</definedName>
    <definedName name="solver_rsd" localSheetId="7" hidden="1">0</definedName>
    <definedName name="solver_rsd" localSheetId="11" hidden="1">0</definedName>
    <definedName name="solver_scl" localSheetId="0" hidden="1">1</definedName>
    <definedName name="solver_scl" localSheetId="3" hidden="1">1</definedName>
    <definedName name="solver_scl" localSheetId="6" hidden="1">1</definedName>
    <definedName name="solver_scl" localSheetId="7" hidden="1">1</definedName>
    <definedName name="solver_scl" localSheetId="11" hidden="1">1</definedName>
    <definedName name="solver_sho" localSheetId="0" hidden="1">2</definedName>
    <definedName name="solver_sho" localSheetId="3" hidden="1">2</definedName>
    <definedName name="solver_sho" localSheetId="6" hidden="1">2</definedName>
    <definedName name="solver_sho" localSheetId="7" hidden="1">2</definedName>
    <definedName name="solver_sho" localSheetId="11" hidden="1">2</definedName>
    <definedName name="solver_ssz" localSheetId="0" hidden="1">100</definedName>
    <definedName name="solver_ssz" localSheetId="3" hidden="1">100</definedName>
    <definedName name="solver_ssz" localSheetId="6" hidden="1">100</definedName>
    <definedName name="solver_ssz" localSheetId="7" hidden="1">100</definedName>
    <definedName name="solver_ssz" localSheetId="11" hidden="1">100</definedName>
    <definedName name="solver_tim" localSheetId="0" hidden="1">2147483647</definedName>
    <definedName name="solver_tim" localSheetId="3" hidden="1">2147483647</definedName>
    <definedName name="solver_tim" localSheetId="6" hidden="1">2147483647</definedName>
    <definedName name="solver_tim" localSheetId="7" hidden="1">2147483647</definedName>
    <definedName name="solver_tim" localSheetId="11" hidden="1">2147483647</definedName>
    <definedName name="solver_tol" localSheetId="0" hidden="1">0.01</definedName>
    <definedName name="solver_tol" localSheetId="3" hidden="1">0.01</definedName>
    <definedName name="solver_tol" localSheetId="6" hidden="1">0.01</definedName>
    <definedName name="solver_tol" localSheetId="7" hidden="1">0.01</definedName>
    <definedName name="solver_tol" localSheetId="11" hidden="1">0.01</definedName>
    <definedName name="solver_typ" localSheetId="0" hidden="1">3</definedName>
    <definedName name="solver_typ" localSheetId="3" hidden="1">3</definedName>
    <definedName name="solver_typ" localSheetId="6" hidden="1">3</definedName>
    <definedName name="solver_typ" localSheetId="7" hidden="1">3</definedName>
    <definedName name="solver_typ" localSheetId="11" hidden="1">3</definedName>
    <definedName name="solver_val" localSheetId="0" hidden="1">0</definedName>
    <definedName name="solver_val" localSheetId="3" hidden="1">0</definedName>
    <definedName name="solver_val" localSheetId="6" hidden="1">0</definedName>
    <definedName name="solver_val" localSheetId="7" hidden="1">0</definedName>
    <definedName name="solver_val" localSheetId="11" hidden="1">0</definedName>
    <definedName name="solver_ver" localSheetId="0" hidden="1">3</definedName>
    <definedName name="solver_ver" localSheetId="3" hidden="1">3</definedName>
    <definedName name="solver_ver" localSheetId="6" hidden="1">3</definedName>
    <definedName name="solver_ver" localSheetId="7" hidden="1">3</definedName>
    <definedName name="solver_ver" localSheetId="1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24" l="1"/>
  <c r="L32" i="24"/>
  <c r="L31" i="24"/>
  <c r="L26" i="24"/>
  <c r="L25" i="24"/>
  <c r="L20" i="24"/>
  <c r="L19" i="24"/>
  <c r="L14" i="24"/>
  <c r="L13" i="24"/>
  <c r="L8" i="24"/>
  <c r="L7" i="24"/>
  <c r="J17" i="14"/>
  <c r="J16" i="14"/>
  <c r="J9" i="14"/>
  <c r="J8" i="14"/>
  <c r="M12" i="16" l="1"/>
  <c r="M11" i="16"/>
  <c r="J17" i="16"/>
  <c r="J16" i="16"/>
  <c r="J9" i="16"/>
  <c r="J8" i="16"/>
  <c r="Q7" i="24" l="1"/>
  <c r="P7" i="24"/>
  <c r="Q13" i="24"/>
  <c r="P13" i="24"/>
  <c r="M12" i="14" l="1"/>
  <c r="D5" i="1" l="1"/>
  <c r="B5" i="1" s="1"/>
  <c r="D6" i="1"/>
  <c r="B6" i="1" s="1"/>
  <c r="D7" i="1"/>
  <c r="B7" i="1" s="1"/>
  <c r="D8" i="1"/>
  <c r="B8" i="1"/>
  <c r="D9" i="1"/>
  <c r="B9" i="1" s="1"/>
  <c r="D10" i="1"/>
  <c r="B10" i="1" s="1"/>
  <c r="D11" i="1"/>
  <c r="B11" i="1" s="1"/>
  <c r="D12" i="1"/>
  <c r="B12" i="1"/>
  <c r="D13" i="1"/>
  <c r="B13" i="1" s="1"/>
  <c r="D14" i="1"/>
  <c r="B14" i="1" s="1"/>
  <c r="D15" i="1"/>
  <c r="B15" i="1" s="1"/>
  <c r="D16" i="1"/>
  <c r="B16" i="1"/>
  <c r="D17" i="1"/>
  <c r="B17" i="1" s="1"/>
  <c r="D18" i="1"/>
  <c r="B18" i="1" s="1"/>
  <c r="D19" i="1"/>
  <c r="B19" i="1" s="1"/>
  <c r="D20" i="1"/>
  <c r="B20" i="1"/>
  <c r="D21" i="1"/>
  <c r="B21" i="1" s="1"/>
  <c r="D22" i="1"/>
  <c r="B22" i="1" s="1"/>
  <c r="D23" i="1"/>
  <c r="B23" i="1" s="1"/>
  <c r="D24" i="1"/>
  <c r="B24" i="1"/>
  <c r="D25" i="1"/>
  <c r="B25" i="1" s="1"/>
  <c r="D26" i="1"/>
  <c r="B26" i="1" s="1"/>
  <c r="D27" i="1"/>
  <c r="B27" i="1" s="1"/>
  <c r="D28" i="1"/>
  <c r="B28" i="1"/>
  <c r="D29" i="1"/>
  <c r="B29" i="1" s="1"/>
  <c r="D30" i="1"/>
  <c r="B30" i="1" s="1"/>
  <c r="D31" i="1"/>
  <c r="B31" i="1" s="1"/>
  <c r="D32" i="1"/>
  <c r="B32" i="1"/>
  <c r="D33" i="1"/>
  <c r="B33" i="1" s="1"/>
  <c r="D34" i="1"/>
  <c r="B34" i="1" s="1"/>
  <c r="D35" i="1"/>
  <c r="B35" i="1" s="1"/>
  <c r="D36" i="1"/>
  <c r="B36" i="1"/>
  <c r="D37" i="1"/>
  <c r="B37" i="1" s="1"/>
  <c r="D38" i="1"/>
  <c r="B38" i="1" s="1"/>
  <c r="D39" i="1"/>
  <c r="B39" i="1" s="1"/>
  <c r="D40" i="1"/>
  <c r="B40" i="1"/>
  <c r="D41" i="1"/>
  <c r="B41" i="1" s="1"/>
  <c r="D42" i="1"/>
  <c r="B42" i="1" s="1"/>
  <c r="D43" i="1"/>
  <c r="B43" i="1" s="1"/>
  <c r="D44" i="1"/>
  <c r="B44" i="1"/>
  <c r="D45" i="1"/>
  <c r="B45" i="1" s="1"/>
  <c r="D46" i="1"/>
  <c r="B46" i="1" s="1"/>
  <c r="D47" i="1"/>
  <c r="B47" i="1" s="1"/>
  <c r="D48" i="1"/>
  <c r="B48" i="1"/>
  <c r="D49" i="1"/>
  <c r="B49" i="1" s="1"/>
  <c r="D50" i="1"/>
  <c r="B50" i="1" s="1"/>
  <c r="D51" i="1"/>
  <c r="B51" i="1" s="1"/>
  <c r="D52" i="1"/>
  <c r="B52" i="1"/>
  <c r="D53" i="1"/>
  <c r="B53" i="1" s="1"/>
  <c r="D54" i="1"/>
  <c r="B54" i="1" s="1"/>
  <c r="D55" i="1"/>
  <c r="B55" i="1" s="1"/>
  <c r="D56" i="1"/>
  <c r="B56" i="1"/>
  <c r="D57" i="1"/>
  <c r="B57" i="1" s="1"/>
  <c r="D58" i="1"/>
  <c r="B58" i="1" s="1"/>
  <c r="D59" i="1"/>
  <c r="B59" i="1" s="1"/>
  <c r="D60" i="1"/>
  <c r="B60" i="1"/>
  <c r="D61" i="1"/>
  <c r="B61" i="1" s="1"/>
  <c r="D62" i="1"/>
  <c r="B62" i="1" s="1"/>
  <c r="D63" i="1"/>
  <c r="B63" i="1" s="1"/>
  <c r="D64" i="1"/>
  <c r="B64" i="1"/>
  <c r="D65" i="1"/>
  <c r="B65" i="1" s="1"/>
  <c r="D66" i="1"/>
  <c r="B66" i="1" s="1"/>
  <c r="D67" i="1"/>
  <c r="B67" i="1" s="1"/>
  <c r="D68" i="1"/>
  <c r="B68" i="1"/>
  <c r="D69" i="1"/>
  <c r="B69" i="1" s="1"/>
  <c r="D70" i="1"/>
  <c r="B70" i="1" s="1"/>
  <c r="D71" i="1"/>
  <c r="B71" i="1" s="1"/>
  <c r="D72" i="1"/>
  <c r="B72" i="1"/>
  <c r="D73" i="1"/>
  <c r="B73" i="1" s="1"/>
  <c r="D74" i="1"/>
  <c r="B74" i="1" s="1"/>
  <c r="D75" i="1"/>
  <c r="B75" i="1" s="1"/>
  <c r="D76" i="1"/>
  <c r="B76" i="1"/>
  <c r="D77" i="1"/>
  <c r="B77" i="1" s="1"/>
  <c r="D78" i="1"/>
  <c r="B78" i="1" s="1"/>
  <c r="D79" i="1"/>
  <c r="B79" i="1" s="1"/>
  <c r="D80" i="1"/>
  <c r="B80" i="1"/>
  <c r="D81" i="1"/>
  <c r="B81" i="1" s="1"/>
  <c r="D82" i="1"/>
  <c r="B82" i="1" s="1"/>
  <c r="D83" i="1"/>
  <c r="B83" i="1" s="1"/>
  <c r="D84" i="1"/>
  <c r="B84" i="1"/>
  <c r="D85" i="1"/>
  <c r="B85" i="1" s="1"/>
  <c r="D86" i="1"/>
  <c r="B86" i="1" s="1"/>
  <c r="D87" i="1"/>
  <c r="B87" i="1" s="1"/>
  <c r="D88" i="1"/>
  <c r="B88" i="1"/>
  <c r="D89" i="1"/>
  <c r="B89" i="1" s="1"/>
  <c r="D90" i="1"/>
  <c r="B90" i="1" s="1"/>
  <c r="D91" i="1"/>
  <c r="B91" i="1" s="1"/>
  <c r="D92" i="1"/>
  <c r="B92" i="1"/>
  <c r="D93" i="1"/>
  <c r="B93" i="1" s="1"/>
  <c r="D94" i="1"/>
  <c r="B94" i="1" s="1"/>
  <c r="D95" i="1"/>
  <c r="B95" i="1" s="1"/>
  <c r="D96" i="1"/>
  <c r="B96" i="1"/>
  <c r="D97" i="1"/>
  <c r="B97" i="1" s="1"/>
  <c r="D98" i="1"/>
  <c r="B98" i="1" s="1"/>
  <c r="D99" i="1"/>
  <c r="B99" i="1" s="1"/>
  <c r="D100" i="1"/>
  <c r="B100" i="1"/>
  <c r="D101" i="1"/>
  <c r="B101" i="1" s="1"/>
  <c r="D102" i="1"/>
  <c r="B102" i="1" s="1"/>
  <c r="D103" i="1"/>
  <c r="B103" i="1" s="1"/>
  <c r="D104" i="1"/>
  <c r="B104" i="1"/>
  <c r="E5" i="1"/>
  <c r="F5" i="1" s="1"/>
  <c r="E6" i="1"/>
  <c r="E7" i="1"/>
  <c r="F7" i="1" s="1"/>
  <c r="E8" i="1"/>
  <c r="F8" i="1"/>
  <c r="E9" i="1"/>
  <c r="F9" i="1" s="1"/>
  <c r="E10" i="1"/>
  <c r="E11" i="1"/>
  <c r="F11" i="1" s="1"/>
  <c r="E12" i="1"/>
  <c r="F12" i="1"/>
  <c r="E13" i="1"/>
  <c r="F13" i="1" s="1"/>
  <c r="E14" i="1"/>
  <c r="E15" i="1"/>
  <c r="F15" i="1" s="1"/>
  <c r="E16" i="1"/>
  <c r="F16" i="1"/>
  <c r="E17" i="1"/>
  <c r="F17" i="1" s="1"/>
  <c r="E18" i="1"/>
  <c r="E19" i="1"/>
  <c r="F19" i="1" s="1"/>
  <c r="E20" i="1"/>
  <c r="F20" i="1"/>
  <c r="E21" i="1"/>
  <c r="F21" i="1" s="1"/>
  <c r="E22" i="1"/>
  <c r="E23" i="1"/>
  <c r="F23" i="1" s="1"/>
  <c r="E24" i="1"/>
  <c r="F24" i="1"/>
  <c r="E25" i="1"/>
  <c r="F25" i="1" s="1"/>
  <c r="E26" i="1"/>
  <c r="E27" i="1"/>
  <c r="F27" i="1" s="1"/>
  <c r="E28" i="1"/>
  <c r="F28" i="1"/>
  <c r="E29" i="1"/>
  <c r="F29" i="1" s="1"/>
  <c r="E30" i="1"/>
  <c r="E31" i="1"/>
  <c r="F31" i="1" s="1"/>
  <c r="E32" i="1"/>
  <c r="F32" i="1"/>
  <c r="E33" i="1"/>
  <c r="F33" i="1" s="1"/>
  <c r="E34" i="1"/>
  <c r="E35" i="1"/>
  <c r="F35" i="1" s="1"/>
  <c r="E36" i="1"/>
  <c r="F36" i="1"/>
  <c r="E37" i="1"/>
  <c r="F37" i="1" s="1"/>
  <c r="E38" i="1"/>
  <c r="E39" i="1"/>
  <c r="F39" i="1" s="1"/>
  <c r="E40" i="1"/>
  <c r="F40" i="1"/>
  <c r="E41" i="1"/>
  <c r="F41" i="1" s="1"/>
  <c r="E42" i="1"/>
  <c r="E43" i="1"/>
  <c r="F43" i="1" s="1"/>
  <c r="E44" i="1"/>
  <c r="F44" i="1"/>
  <c r="E45" i="1"/>
  <c r="F45" i="1" s="1"/>
  <c r="E46" i="1"/>
  <c r="E47" i="1"/>
  <c r="F47" i="1" s="1"/>
  <c r="E48" i="1"/>
  <c r="F48" i="1"/>
  <c r="E49" i="1"/>
  <c r="F49" i="1" s="1"/>
  <c r="E50" i="1"/>
  <c r="E51" i="1"/>
  <c r="F51" i="1" s="1"/>
  <c r="E52" i="1"/>
  <c r="F52" i="1"/>
  <c r="E53" i="1"/>
  <c r="E54" i="1"/>
  <c r="E55" i="1"/>
  <c r="F55" i="1" s="1"/>
  <c r="E56" i="1"/>
  <c r="F56" i="1"/>
  <c r="E57" i="1"/>
  <c r="E58" i="1"/>
  <c r="E59" i="1"/>
  <c r="F59" i="1" s="1"/>
  <c r="E60" i="1"/>
  <c r="F60" i="1"/>
  <c r="E61" i="1"/>
  <c r="E62" i="1"/>
  <c r="E63" i="1"/>
  <c r="F63" i="1" s="1"/>
  <c r="E64" i="1"/>
  <c r="F64" i="1"/>
  <c r="E65" i="1"/>
  <c r="E66" i="1"/>
  <c r="E67" i="1"/>
  <c r="F67" i="1" s="1"/>
  <c r="E68" i="1"/>
  <c r="F68" i="1"/>
  <c r="E69" i="1"/>
  <c r="E70" i="1"/>
  <c r="E71" i="1"/>
  <c r="F71" i="1" s="1"/>
  <c r="E72" i="1"/>
  <c r="F72" i="1"/>
  <c r="E73" i="1"/>
  <c r="E74" i="1"/>
  <c r="E75" i="1"/>
  <c r="F75" i="1" s="1"/>
  <c r="E76" i="1"/>
  <c r="F76" i="1"/>
  <c r="E77" i="1"/>
  <c r="E78" i="1"/>
  <c r="E79" i="1"/>
  <c r="F79" i="1" s="1"/>
  <c r="E80" i="1"/>
  <c r="F80" i="1"/>
  <c r="E81" i="1"/>
  <c r="E82" i="1"/>
  <c r="E83" i="1"/>
  <c r="F83" i="1" s="1"/>
  <c r="E84" i="1"/>
  <c r="F84" i="1"/>
  <c r="E85" i="1"/>
  <c r="E86" i="1"/>
  <c r="E87" i="1"/>
  <c r="F87" i="1" s="1"/>
  <c r="E88" i="1"/>
  <c r="F88" i="1"/>
  <c r="E89" i="1"/>
  <c r="E90" i="1"/>
  <c r="E91" i="1"/>
  <c r="F91" i="1" s="1"/>
  <c r="E92" i="1"/>
  <c r="F92" i="1"/>
  <c r="E93" i="1"/>
  <c r="E94" i="1"/>
  <c r="E95" i="1"/>
  <c r="F95" i="1" s="1"/>
  <c r="E96" i="1"/>
  <c r="F96" i="1"/>
  <c r="E97" i="1"/>
  <c r="E98" i="1"/>
  <c r="E99" i="1"/>
  <c r="F99" i="1" s="1"/>
  <c r="E100" i="1"/>
  <c r="F100" i="1"/>
  <c r="E101" i="1"/>
  <c r="E102" i="1"/>
  <c r="E103" i="1"/>
  <c r="F103" i="1" s="1"/>
  <c r="E104" i="1"/>
  <c r="F104" i="1"/>
  <c r="D4" i="1"/>
  <c r="B4" i="1" s="1"/>
  <c r="E4" i="1"/>
  <c r="F4" i="1"/>
  <c r="U14" i="14"/>
  <c r="U13" i="14"/>
  <c r="U12" i="14"/>
  <c r="U11" i="14"/>
  <c r="Q14" i="16"/>
  <c r="Q13" i="16"/>
  <c r="Q12" i="16"/>
  <c r="Q11" i="16"/>
  <c r="M8" i="14"/>
  <c r="M7" i="14"/>
  <c r="M9" i="14"/>
  <c r="M8" i="16"/>
  <c r="M7" i="16"/>
  <c r="M10" i="16"/>
  <c r="M9" i="16"/>
  <c r="Z28" i="24"/>
  <c r="Z29" i="24"/>
  <c r="X28" i="24"/>
  <c r="X29" i="24"/>
  <c r="Z10" i="24"/>
  <c r="X24" i="24" s="1"/>
  <c r="Y10" i="24"/>
  <c r="W24" i="24" s="1"/>
  <c r="X9" i="24"/>
  <c r="X23" i="24" s="1"/>
  <c r="W9" i="24"/>
  <c r="W23" i="24" s="1"/>
  <c r="Z9" i="24"/>
  <c r="X22" i="24" s="1"/>
  <c r="Y9" i="24"/>
  <c r="W22" i="24" s="1"/>
  <c r="X8" i="24"/>
  <c r="X21" i="24" s="1"/>
  <c r="W8" i="24"/>
  <c r="W21" i="24" s="1"/>
  <c r="Z8" i="24"/>
  <c r="X20" i="24" s="1"/>
  <c r="Y8" i="24"/>
  <c r="W20" i="24" s="1"/>
  <c r="X7" i="24"/>
  <c r="X19" i="24" s="1"/>
  <c r="W7" i="24"/>
  <c r="W19" i="24" s="1"/>
  <c r="Z7" i="24"/>
  <c r="X18" i="24" s="1"/>
  <c r="Y7" i="24"/>
  <c r="W18" i="24" s="1"/>
  <c r="X6" i="24"/>
  <c r="X17" i="24" s="1"/>
  <c r="W6" i="24"/>
  <c r="W17" i="24" s="1"/>
  <c r="Z6" i="24"/>
  <c r="X16" i="24" s="1"/>
  <c r="Y6" i="24"/>
  <c r="W16" i="24" s="1"/>
  <c r="X5" i="24"/>
  <c r="X15" i="24" s="1"/>
  <c r="W5" i="24"/>
  <c r="W15" i="24" s="1"/>
  <c r="Z5" i="24"/>
  <c r="X14" i="24" s="1"/>
  <c r="Y5" i="24"/>
  <c r="W14" i="24" s="1"/>
  <c r="S31" i="24"/>
  <c r="R31" i="24"/>
  <c r="Q31" i="24"/>
  <c r="P31" i="24"/>
  <c r="T25" i="24"/>
  <c r="S25" i="24"/>
  <c r="R25" i="24"/>
  <c r="Q25" i="24"/>
  <c r="P25" i="24"/>
  <c r="T19" i="24"/>
  <c r="S19" i="24"/>
  <c r="R19" i="24"/>
  <c r="Q19" i="24"/>
  <c r="P19" i="24"/>
  <c r="T13" i="24"/>
  <c r="S13" i="24"/>
  <c r="R13" i="24"/>
  <c r="T7" i="24"/>
  <c r="S7" i="24"/>
  <c r="R7" i="24"/>
  <c r="U7" i="14"/>
  <c r="U6" i="14"/>
  <c r="U5" i="14"/>
  <c r="U4" i="14"/>
  <c r="Q5" i="16"/>
  <c r="Q4" i="16"/>
  <c r="Q7" i="16"/>
  <c r="Q6" i="16"/>
  <c r="M4" i="16"/>
  <c r="M3" i="16"/>
  <c r="M6" i="16"/>
  <c r="M5" i="16"/>
  <c r="M11" i="14"/>
  <c r="M10" i="14"/>
  <c r="M6" i="14"/>
  <c r="M5" i="14"/>
  <c r="M4" i="14"/>
  <c r="M3" i="14"/>
  <c r="F102" i="1" l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X32" i="24"/>
  <c r="X31" i="24"/>
  <c r="Z31" i="24"/>
  <c r="Z32" i="24"/>
</calcChain>
</file>

<file path=xl/sharedStrings.xml><?xml version="1.0" encoding="utf-8"?>
<sst xmlns="http://schemas.openxmlformats.org/spreadsheetml/2006/main" count="355" uniqueCount="159">
  <si>
    <t>F =</t>
  </si>
  <si>
    <t>m =</t>
  </si>
  <si>
    <t>b =</t>
  </si>
  <si>
    <t>Antoine Constants</t>
  </si>
  <si>
    <t>A</t>
  </si>
  <si>
    <t>B</t>
  </si>
  <si>
    <t>C</t>
  </si>
  <si>
    <t>Benzene</t>
  </si>
  <si>
    <t>Toluene</t>
  </si>
  <si>
    <t>T</t>
  </si>
  <si>
    <t>BP</t>
  </si>
  <si>
    <t>Z =</t>
  </si>
  <si>
    <t>Generation of XY and TXY Diagrams</t>
  </si>
  <si>
    <t>Stage 1</t>
  </si>
  <si>
    <t>Stage 2</t>
  </si>
  <si>
    <t>St 1 MB:</t>
  </si>
  <si>
    <t>St 1 B MB:</t>
  </si>
  <si>
    <t>St 2 MB:</t>
  </si>
  <si>
    <t>St 2 B MB:</t>
  </si>
  <si>
    <t>St 1 B EQ:</t>
  </si>
  <si>
    <t>St 1 T EQ:</t>
  </si>
  <si>
    <t>St 2 B EQ:</t>
  </si>
  <si>
    <t>St 2 T EQ:</t>
  </si>
  <si>
    <t>Reflux:</t>
  </si>
  <si>
    <t>Reflux =</t>
  </si>
  <si>
    <t>y</t>
  </si>
  <si>
    <t>x</t>
  </si>
  <si>
    <t>Leaving Streams (Equil)</t>
  </si>
  <si>
    <t>Passing Streams (MB)</t>
  </si>
  <si>
    <t>PS:</t>
  </si>
  <si>
    <r>
      <t>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</si>
  <si>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</si>
  <si>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</si>
  <si>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</si>
  <si>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</si>
  <si>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</si>
  <si>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</si>
  <si>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</si>
  <si>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</si>
  <si>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</si>
  <si>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</si>
  <si>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</si>
  <si>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t>St 1 PS:</t>
  </si>
  <si>
    <t>St 2 PS:</t>
  </si>
  <si>
    <t>XY Operating Lines</t>
  </si>
  <si>
    <t>TXY Operating Lines</t>
  </si>
  <si>
    <t>TOL</t>
  </si>
  <si>
    <t>BOL</t>
  </si>
  <si>
    <r>
      <t>T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</si>
  <si>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</si>
  <si>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</si>
  <si>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</si>
  <si>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</si>
  <si>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 =</t>
    </r>
  </si>
  <si>
    <t>z =</t>
  </si>
  <si>
    <r>
      <t>L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</si>
  <si>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</si>
  <si>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</si>
  <si>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</si>
  <si>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</si>
  <si>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</si>
  <si>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</si>
  <si>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y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</si>
  <si>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i</t>
    </r>
  </si>
  <si>
    <r>
      <t>y</t>
    </r>
    <r>
      <rPr>
        <vertAlign val="subscript"/>
        <sz val="16"/>
        <color theme="1"/>
        <rFont val="Calibri"/>
        <family val="2"/>
        <scheme val="minor"/>
      </rPr>
      <t>i</t>
    </r>
  </si>
  <si>
    <r>
      <t>x</t>
    </r>
    <r>
      <rPr>
        <vertAlign val="subscript"/>
        <sz val="16"/>
        <color theme="1"/>
        <rFont val="Calibri"/>
        <family val="2"/>
        <scheme val="minor"/>
      </rPr>
      <t>i-1</t>
    </r>
  </si>
  <si>
    <t>Stage 3</t>
  </si>
  <si>
    <r>
      <t>K</t>
    </r>
    <r>
      <rPr>
        <vertAlign val="subscript"/>
        <sz val="16"/>
        <color theme="1"/>
        <rFont val="Calibri"/>
        <family val="2"/>
        <scheme val="minor"/>
      </rPr>
      <t>1B</t>
    </r>
    <r>
      <rPr>
        <sz val="16"/>
        <color theme="1"/>
        <rFont val="Calibri"/>
        <family val="2"/>
        <scheme val="minor"/>
      </rPr>
      <t xml:space="preserve"> = </t>
    </r>
  </si>
  <si>
    <r>
      <t>K</t>
    </r>
    <r>
      <rPr>
        <vertAlign val="subscript"/>
        <sz val="16"/>
        <color theme="1"/>
        <rFont val="Calibri"/>
        <family val="2"/>
        <scheme val="minor"/>
      </rPr>
      <t>1T</t>
    </r>
    <r>
      <rPr>
        <sz val="16"/>
        <color theme="1"/>
        <rFont val="Calibri"/>
        <family val="2"/>
        <scheme val="minor"/>
      </rPr>
      <t xml:space="preserve"> =</t>
    </r>
  </si>
  <si>
    <t xml:space="preserve">R = </t>
  </si>
  <si>
    <t>Stage 4</t>
  </si>
  <si>
    <t>Stage 5</t>
  </si>
  <si>
    <r>
      <t>K</t>
    </r>
    <r>
      <rPr>
        <vertAlign val="subscript"/>
        <sz val="16"/>
        <color theme="1"/>
        <rFont val="Calibri"/>
        <family val="2"/>
        <scheme val="minor"/>
      </rPr>
      <t>2B</t>
    </r>
    <r>
      <rPr>
        <sz val="16"/>
        <color theme="1"/>
        <rFont val="Calibri"/>
        <family val="2"/>
        <scheme val="minor"/>
      </rPr>
      <t xml:space="preserve"> = </t>
    </r>
  </si>
  <si>
    <r>
      <t>K</t>
    </r>
    <r>
      <rPr>
        <vertAlign val="subscript"/>
        <sz val="16"/>
        <color theme="1"/>
        <rFont val="Calibri"/>
        <family val="2"/>
        <scheme val="minor"/>
      </rPr>
      <t>2T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</si>
  <si>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3B</t>
    </r>
    <r>
      <rPr>
        <sz val="16"/>
        <color theme="1"/>
        <rFont val="Calibri"/>
        <family val="2"/>
        <scheme val="minor"/>
      </rPr>
      <t xml:space="preserve"> = </t>
    </r>
  </si>
  <si>
    <r>
      <t>K</t>
    </r>
    <r>
      <rPr>
        <vertAlign val="subscript"/>
        <sz val="16"/>
        <color theme="1"/>
        <rFont val="Calibri"/>
        <family val="2"/>
        <scheme val="minor"/>
      </rPr>
      <t>3T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</si>
  <si>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4B</t>
    </r>
    <r>
      <rPr>
        <sz val="16"/>
        <color theme="1"/>
        <rFont val="Calibri"/>
        <family val="2"/>
        <scheme val="minor"/>
      </rPr>
      <t xml:space="preserve"> = </t>
    </r>
  </si>
  <si>
    <r>
      <t>K</t>
    </r>
    <r>
      <rPr>
        <vertAlign val="subscript"/>
        <sz val="16"/>
        <color theme="1"/>
        <rFont val="Calibri"/>
        <family val="2"/>
        <scheme val="minor"/>
      </rPr>
      <t>4T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</si>
  <si>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5B</t>
    </r>
    <r>
      <rPr>
        <sz val="16"/>
        <color theme="1"/>
        <rFont val="Calibri"/>
        <family val="2"/>
        <scheme val="minor"/>
      </rPr>
      <t xml:space="preserve"> = </t>
    </r>
  </si>
  <si>
    <r>
      <t>K</t>
    </r>
    <r>
      <rPr>
        <vertAlign val="subscript"/>
        <sz val="16"/>
        <color theme="1"/>
        <rFont val="Calibri"/>
        <family val="2"/>
        <scheme val="minor"/>
      </rPr>
      <t>5T</t>
    </r>
    <r>
      <rPr>
        <sz val="16"/>
        <color theme="1"/>
        <rFont val="Calibri"/>
        <family val="2"/>
        <scheme val="minor"/>
      </rPr>
      <t xml:space="preserve"> =</t>
    </r>
  </si>
  <si>
    <t>Note</t>
  </si>
  <si>
    <t>MB</t>
  </si>
  <si>
    <t>Eq.</t>
  </si>
  <si>
    <t>Process</t>
  </si>
  <si>
    <t>Spec.</t>
  </si>
  <si>
    <t>Total</t>
  </si>
  <si>
    <t>x = y Line</t>
  </si>
  <si>
    <t>2-Stages w/ No Recycle</t>
  </si>
  <si>
    <r>
      <t>T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=</t>
    </r>
  </si>
  <si>
    <t>Stage #1</t>
  </si>
  <si>
    <t>Stage #2</t>
  </si>
  <si>
    <t>F, V, L [=] mol/h</t>
  </si>
  <si>
    <t>x, y, z [=] mol B/mol</t>
  </si>
  <si>
    <r>
      <t xml:space="preserve">T [=]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C, P [=] mm Hg</t>
    </r>
  </si>
  <si>
    <t>PS is EMO</t>
  </si>
  <si>
    <t xml:space="preserve">PS is </t>
  </si>
  <si>
    <t>Reflux Ratio</t>
  </si>
  <si>
    <r>
      <t>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V</t>
    </r>
    <r>
      <rPr>
        <vertAlign val="subscript"/>
        <sz val="16"/>
        <color theme="1"/>
        <rFont val="Calibri"/>
        <family val="2"/>
        <scheme val="minor"/>
      </rPr>
      <t>3</t>
    </r>
  </si>
  <si>
    <r>
      <t>V</t>
    </r>
    <r>
      <rPr>
        <vertAlign val="sub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 xml:space="preserve"> = V</t>
    </r>
    <r>
      <rPr>
        <vertAlign val="subscript"/>
        <sz val="16"/>
        <color theme="1"/>
        <rFont val="Calibri"/>
        <family val="2"/>
        <scheme val="minor"/>
      </rPr>
      <t>4</t>
    </r>
  </si>
  <si>
    <r>
      <t>V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= V</t>
    </r>
    <r>
      <rPr>
        <vertAlign val="subscript"/>
        <sz val="16"/>
        <color theme="1"/>
        <rFont val="Calibri"/>
        <family val="2"/>
        <scheme val="minor"/>
      </rPr>
      <t>5</t>
    </r>
  </si>
  <si>
    <t>Objective Equations</t>
  </si>
  <si>
    <t>(mol B/mol)</t>
  </si>
  <si>
    <t>(mm Hg)</t>
  </si>
  <si>
    <r>
      <t>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</si>
  <si>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t>P (mm Hg) =</t>
  </si>
  <si>
    <t xml:space="preserve">Instructions: For every x (from 0 - 1), a T is guessed. </t>
  </si>
  <si>
    <t xml:space="preserve">The vapor pressure for benzene and toluene is </t>
  </si>
  <si>
    <t xml:space="preserve">calculated along with the bubble point equation </t>
  </si>
  <si>
    <t xml:space="preserve">until the BP equation is 0, using Solver for all 101 points. </t>
  </si>
  <si>
    <t xml:space="preserve">on the XY and TXY diagrams. </t>
  </si>
  <si>
    <t xml:space="preserve">Suggested Experiment: If you change the pressure </t>
  </si>
  <si>
    <t>and re-run Solver, you can generate</t>
  </si>
  <si>
    <t>TXY and XY diagrams for pressures other than 1 atm.</t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</si>
  <si>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</si>
  <si>
    <r>
      <t>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</si>
  <si>
    <r>
      <t>(x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+ (1 -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>) p</t>
    </r>
    <r>
      <rPr>
        <vertAlign val="subscript"/>
        <sz val="16"/>
        <color theme="1"/>
        <rFont val="Calibri"/>
        <family val="2"/>
        <scheme val="minor"/>
      </rPr>
      <t>T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 xml:space="preserve"> - P = 0). A new T is guessed</t>
    </r>
  </si>
  <si>
    <r>
      <t>y = (p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*</t>
    </r>
    <r>
      <rPr>
        <sz val="16"/>
        <color theme="1"/>
        <rFont val="Calibri"/>
        <family val="2"/>
        <scheme val="minor"/>
      </rPr>
      <t>/P) 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is calculated and plotted </t>
    </r>
  </si>
  <si>
    <t>Something cool: check out the TXY and XY diagrams. The operating lines automatically adjust</t>
  </si>
  <si>
    <t>when you change process conditions.</t>
  </si>
  <si>
    <t>to satisfy the 10 objective equations with the remaining process variables (L, x, V, y, T for each stage).</t>
  </si>
  <si>
    <t xml:space="preserve"> </t>
  </si>
  <si>
    <t>to satisfy the 24 objective equations with the remaining process variables (L, x, V, y, T for each stage).</t>
  </si>
  <si>
    <t>Two Stages With Recycle</t>
  </si>
  <si>
    <t xml:space="preserve">Instructions: According to Example 5.1, specify F = 100 mol/h, z = 0.40 mol B/mol, P = 760 mm Hg, </t>
  </si>
  <si>
    <t>and V = 2 L at each stage (process specification). Input reasonable guesses for T, V, y, L, and x and Solver will iterate</t>
  </si>
  <si>
    <t>F, V, L [=] mol/s</t>
  </si>
  <si>
    <t xml:space="preserve">Instructions: According to Example 5.2, specify F = 100 mol/h, z = 0.40 mol B/mol, P = 760 mm Hg, </t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</si>
  <si>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2 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, and R =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1.0 (process specification). Input reasonable guesses for T, V, y, L, and x and Solver will iterate</t>
    </r>
  </si>
  <si>
    <t>5-Stage Distillation</t>
  </si>
  <si>
    <t xml:space="preserve">Instructions: According to Example 5.3, specify F = 100 mol/h, z = 0.40 mol B/mol, P = 760 mm Hg, </t>
  </si>
  <si>
    <t>P =</t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</si>
  <si>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</si>
  <si>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</si>
  <si>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t>Specified</t>
  </si>
  <si>
    <t>Calculated</t>
  </si>
  <si>
    <t>Iterated</t>
  </si>
  <si>
    <t>Objective</t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</si>
  <si>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</si>
  <si>
    <t>What's This?</t>
  </si>
  <si>
    <r>
      <t>F +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- 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0</t>
    </r>
  </si>
  <si>
    <r>
      <t>Fz +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- 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y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0</t>
    </r>
  </si>
  <si>
    <r>
      <t>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-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0</t>
    </r>
  </si>
  <si>
    <r>
      <t>V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y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-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y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</si>
  <si>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B2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0</t>
    </r>
  </si>
  <si>
    <r>
      <t>K</t>
    </r>
    <r>
      <rPr>
        <vertAlign val="subscript"/>
        <sz val="16"/>
        <color theme="1"/>
        <rFont val="Calibri"/>
        <family val="2"/>
        <scheme val="minor"/>
      </rPr>
      <t>B1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</si>
  <si>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T1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</si>
  <si>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B2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</si>
  <si>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T2</t>
    </r>
    <r>
      <rPr>
        <sz val="16"/>
        <color theme="1"/>
        <rFont val="Calibri"/>
        <family val="2"/>
        <scheme val="minor"/>
      </rPr>
      <t xml:space="preserve"> =</t>
    </r>
  </si>
  <si>
    <r>
      <t>(1 - y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 - K</t>
    </r>
    <r>
      <rPr>
        <vertAlign val="subscript"/>
        <sz val="16"/>
        <color theme="1"/>
        <rFont val="Calibri"/>
        <family val="2"/>
        <scheme val="minor"/>
      </rPr>
      <t>T2</t>
    </r>
    <r>
      <rPr>
        <sz val="16"/>
        <color theme="1"/>
        <rFont val="Calibri"/>
        <family val="2"/>
        <scheme val="minor"/>
      </rPr>
      <t>(1 - x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 = 0</t>
    </r>
  </si>
  <si>
    <r>
      <t>y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K</t>
    </r>
    <r>
      <rPr>
        <vertAlign val="subscript"/>
        <sz val="16"/>
        <color theme="1"/>
        <rFont val="Calibri"/>
        <family val="2"/>
        <scheme val="minor"/>
      </rPr>
      <t>B1</t>
    </r>
    <r>
      <rPr>
        <sz val="16"/>
        <color theme="1"/>
        <rFont val="Calibri"/>
        <family val="2"/>
        <scheme val="minor"/>
      </rPr>
      <t>x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0</t>
    </r>
  </si>
  <si>
    <r>
      <t>(1 - y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) - K</t>
    </r>
    <r>
      <rPr>
        <vertAlign val="subscript"/>
        <sz val="16"/>
        <color theme="1"/>
        <rFont val="Calibri"/>
        <family val="2"/>
        <scheme val="minor"/>
      </rPr>
      <t>T1</t>
    </r>
    <r>
      <rPr>
        <sz val="16"/>
        <color theme="1"/>
        <rFont val="Calibri"/>
        <family val="2"/>
        <scheme val="minor"/>
      </rPr>
      <t>(1 - x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) = 0</t>
    </r>
  </si>
  <si>
    <r>
      <t>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R = 0</t>
    </r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</si>
  <si>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- 2L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0</t>
    </r>
  </si>
  <si>
    <t>Stair Steps</t>
  </si>
  <si>
    <t>Observe the graph on page xy 5-Stage Stairs. You will soon recognize that Stage 3 is not the optimum feed stage.</t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</si>
  <si>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</si>
  <si>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ratio</t>
    </r>
  </si>
  <si>
    <r>
      <t>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 2, and R = L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 xml:space="preserve"> = 1.0 (process specification). Input reasonable guesses for T, V, y, L, and x and Solver will iterate</t>
    </r>
  </si>
  <si>
    <r>
      <t>According to Try This At Home 5.3, try F = 100, z = 0.50 (still fed to Stage 3), V</t>
    </r>
    <r>
      <rPr>
        <vertAlign val="sub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5</t>
    </r>
    <r>
      <rPr>
        <sz val="16"/>
        <color theme="1"/>
        <rFont val="Calibri"/>
        <family val="2"/>
        <scheme val="minor"/>
      </rPr>
      <t xml:space="preserve"> = 1, R =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</si>
</sst>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0.0000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FF0000"/>
      </left>
      <right/>
      <top/>
      <bottom style="thick">
        <color indexed="64"/>
      </bottom>
      <diagonal/>
    </border>
    <border>
      <left style="thick">
        <color rgb="FF0070C0"/>
      </left>
      <right style="thick">
        <color rgb="FFFF0000"/>
      </right>
      <top/>
      <bottom/>
      <diagonal/>
    </border>
    <border>
      <left style="thick">
        <color rgb="FF0070C0"/>
      </left>
      <right/>
      <top style="thick">
        <color indexed="64"/>
      </top>
      <bottom/>
      <diagonal/>
    </border>
    <border>
      <left/>
      <right style="thick">
        <color rgb="FF0070C0"/>
      </right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rgb="FF0070C0"/>
      </right>
      <top style="thick">
        <color indexed="64"/>
      </top>
      <bottom/>
      <diagonal/>
    </border>
    <border>
      <left style="thick">
        <color rgb="FFFF0000"/>
      </left>
      <right/>
      <top style="thick">
        <color indexed="64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rgb="FF0070C0"/>
      </left>
      <right style="thick">
        <color rgb="FFFF0000"/>
      </right>
      <top style="thick">
        <color indexed="64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6" tint="-0.499984740745262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theme="5" tint="-0.499984740745262"/>
      </top>
      <bottom/>
      <diagonal/>
    </border>
    <border>
      <left style="thick">
        <color auto="1"/>
      </left>
      <right style="thick">
        <color auto="1"/>
      </right>
      <top style="thick">
        <color theme="4" tint="-0.499984740745262"/>
      </top>
      <bottom style="thick">
        <color auto="1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5" xfId="0" applyFont="1" applyBorder="1"/>
    <xf numFmtId="0" fontId="1" fillId="0" borderId="7" xfId="0" applyFont="1" applyBorder="1"/>
    <xf numFmtId="165" fontId="1" fillId="0" borderId="0" xfId="0" applyNumberFormat="1" applyFont="1" applyAlignment="1">
      <alignment horizontal="left"/>
    </xf>
    <xf numFmtId="0" fontId="1" fillId="0" borderId="9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29" xfId="0" applyFont="1" applyBorder="1"/>
    <xf numFmtId="0" fontId="1" fillId="0" borderId="28" xfId="0" applyFont="1" applyBorder="1"/>
    <xf numFmtId="0" fontId="1" fillId="3" borderId="0" xfId="0" applyFont="1" applyFill="1" applyBorder="1"/>
    <xf numFmtId="0" fontId="0" fillId="0" borderId="0" xfId="0" applyFill="1"/>
    <xf numFmtId="0" fontId="4" fillId="0" borderId="0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3" borderId="35" xfId="0" applyFill="1" applyBorder="1"/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35" xfId="0" applyFont="1" applyFill="1" applyBorder="1"/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3" borderId="37" xfId="0" applyFont="1" applyFill="1" applyBorder="1"/>
    <xf numFmtId="0" fontId="0" fillId="3" borderId="36" xfId="0" applyFill="1" applyBorder="1" applyAlignment="1">
      <alignment horizontal="center"/>
    </xf>
    <xf numFmtId="0" fontId="1" fillId="3" borderId="36" xfId="0" applyFont="1" applyFill="1" applyBorder="1"/>
    <xf numFmtId="0" fontId="1" fillId="3" borderId="39" xfId="0" applyFont="1" applyFill="1" applyBorder="1"/>
    <xf numFmtId="2" fontId="1" fillId="3" borderId="38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3" borderId="39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5" fontId="1" fillId="3" borderId="0" xfId="0" applyNumberFormat="1" applyFont="1" applyFill="1" applyBorder="1" applyAlignment="1">
      <alignment horizontal="center"/>
    </xf>
    <xf numFmtId="0" fontId="1" fillId="3" borderId="32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165" fontId="1" fillId="3" borderId="35" xfId="0" applyNumberFormat="1" applyFont="1" applyFill="1" applyBorder="1" applyAlignment="1">
      <alignment horizontal="center"/>
    </xf>
    <xf numFmtId="165" fontId="1" fillId="3" borderId="36" xfId="0" applyNumberFormat="1" applyFont="1" applyFill="1" applyBorder="1" applyAlignment="1">
      <alignment horizontal="center"/>
    </xf>
    <xf numFmtId="165" fontId="1" fillId="3" borderId="38" xfId="0" applyNumberFormat="1" applyFont="1" applyFill="1" applyBorder="1" applyAlignment="1">
      <alignment horizontal="center"/>
    </xf>
    <xf numFmtId="165" fontId="1" fillId="3" borderId="39" xfId="0" applyNumberFormat="1" applyFont="1" applyFill="1" applyBorder="1" applyAlignment="1">
      <alignment horizontal="center"/>
    </xf>
    <xf numFmtId="165" fontId="1" fillId="3" borderId="37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165" fontId="1" fillId="3" borderId="36" xfId="0" applyNumberFormat="1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0" fillId="3" borderId="38" xfId="0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3" borderId="37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26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right"/>
    </xf>
    <xf numFmtId="0" fontId="1" fillId="5" borderId="22" xfId="0" applyFont="1" applyFill="1" applyBorder="1" applyAlignment="1">
      <alignment horizontal="right"/>
    </xf>
    <xf numFmtId="0" fontId="1" fillId="5" borderId="21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right"/>
    </xf>
    <xf numFmtId="0" fontId="7" fillId="0" borderId="0" xfId="0" applyFont="1"/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right"/>
    </xf>
    <xf numFmtId="164" fontId="1" fillId="6" borderId="42" xfId="0" applyNumberFormat="1" applyFont="1" applyFill="1" applyBorder="1" applyAlignment="1">
      <alignment horizontal="left"/>
    </xf>
    <xf numFmtId="0" fontId="1" fillId="6" borderId="43" xfId="0" applyFont="1" applyFill="1" applyBorder="1" applyAlignment="1">
      <alignment horizontal="right"/>
    </xf>
    <xf numFmtId="165" fontId="1" fillId="6" borderId="44" xfId="0" applyNumberFormat="1" applyFont="1" applyFill="1" applyBorder="1" applyAlignment="1">
      <alignment horizontal="left"/>
    </xf>
    <xf numFmtId="0" fontId="1" fillId="6" borderId="45" xfId="0" applyFont="1" applyFill="1" applyBorder="1" applyAlignment="1">
      <alignment horizontal="right"/>
    </xf>
    <xf numFmtId="0" fontId="1" fillId="7" borderId="47" xfId="0" applyFont="1" applyFill="1" applyBorder="1" applyAlignment="1">
      <alignment horizontal="right"/>
    </xf>
    <xf numFmtId="164" fontId="1" fillId="7" borderId="48" xfId="0" applyNumberFormat="1" applyFont="1" applyFill="1" applyBorder="1" applyAlignment="1">
      <alignment horizontal="left"/>
    </xf>
    <xf numFmtId="0" fontId="1" fillId="7" borderId="49" xfId="0" applyFont="1" applyFill="1" applyBorder="1" applyAlignment="1">
      <alignment horizontal="right"/>
    </xf>
    <xf numFmtId="165" fontId="1" fillId="7" borderId="50" xfId="0" applyNumberFormat="1" applyFont="1" applyFill="1" applyBorder="1" applyAlignment="1">
      <alignment horizontal="left"/>
    </xf>
    <xf numFmtId="0" fontId="1" fillId="7" borderId="51" xfId="0" applyFont="1" applyFill="1" applyBorder="1" applyAlignment="1">
      <alignment horizontal="right"/>
    </xf>
    <xf numFmtId="164" fontId="1" fillId="7" borderId="52" xfId="0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right"/>
    </xf>
    <xf numFmtId="168" fontId="1" fillId="4" borderId="54" xfId="0" applyNumberFormat="1" applyFont="1" applyFill="1" applyBorder="1" applyAlignment="1">
      <alignment horizontal="left"/>
    </xf>
    <xf numFmtId="168" fontId="1" fillId="4" borderId="27" xfId="0" applyNumberFormat="1" applyFont="1" applyFill="1" applyBorder="1" applyAlignment="1">
      <alignment horizontal="left"/>
    </xf>
    <xf numFmtId="0" fontId="1" fillId="6" borderId="42" xfId="0" applyFont="1" applyFill="1" applyBorder="1" applyAlignment="1">
      <alignment horizontal="left"/>
    </xf>
    <xf numFmtId="0" fontId="1" fillId="6" borderId="55" xfId="0" applyFont="1" applyFill="1" applyBorder="1" applyAlignment="1">
      <alignment horizontal="right"/>
    </xf>
    <xf numFmtId="0" fontId="1" fillId="6" borderId="56" xfId="0" applyFont="1" applyFill="1" applyBorder="1" applyAlignment="1">
      <alignment horizontal="left"/>
    </xf>
    <xf numFmtId="0" fontId="1" fillId="6" borderId="44" xfId="0" applyFont="1" applyFill="1" applyBorder="1" applyAlignment="1">
      <alignment horizontal="left"/>
    </xf>
    <xf numFmtId="0" fontId="4" fillId="6" borderId="57" xfId="0" applyFont="1" applyFill="1" applyBorder="1"/>
    <xf numFmtId="0" fontId="1" fillId="5" borderId="58" xfId="0" applyFont="1" applyFill="1" applyBorder="1"/>
    <xf numFmtId="0" fontId="1" fillId="7" borderId="59" xfId="0" applyFont="1" applyFill="1" applyBorder="1"/>
    <xf numFmtId="0" fontId="1" fillId="4" borderId="60" xfId="0" applyFont="1" applyFill="1" applyBorder="1"/>
    <xf numFmtId="164" fontId="1" fillId="6" borderId="46" xfId="0" applyNumberFormat="1" applyFont="1" applyFill="1" applyBorder="1" applyAlignment="1">
      <alignment horizontal="left"/>
    </xf>
    <xf numFmtId="0" fontId="1" fillId="0" borderId="61" xfId="0" applyFont="1" applyFill="1" applyBorder="1" applyAlignment="1">
      <alignment horizontal="right"/>
    </xf>
    <xf numFmtId="0" fontId="1" fillId="0" borderId="61" xfId="0" applyFont="1" applyFill="1" applyBorder="1" applyAlignment="1">
      <alignment horizontal="left"/>
    </xf>
    <xf numFmtId="2" fontId="1" fillId="7" borderId="52" xfId="0" applyNumberFormat="1" applyFont="1" applyFill="1" applyBorder="1" applyAlignment="1">
      <alignment horizontal="left"/>
    </xf>
    <xf numFmtId="0" fontId="1" fillId="7" borderId="52" xfId="0" applyFont="1" applyFill="1" applyBorder="1" applyAlignment="1">
      <alignment horizontal="left"/>
    </xf>
    <xf numFmtId="164" fontId="1" fillId="6" borderId="44" xfId="0" applyNumberFormat="1" applyFont="1" applyFill="1" applyBorder="1" applyAlignment="1">
      <alignment horizontal="left"/>
    </xf>
    <xf numFmtId="0" fontId="1" fillId="7" borderId="51" xfId="0" applyFont="1" applyFill="1" applyBorder="1" applyAlignment="1">
      <alignment horizontal="right" vertical="center"/>
    </xf>
    <xf numFmtId="2" fontId="1" fillId="7" borderId="52" xfId="0" applyNumberFormat="1" applyFont="1" applyFill="1" applyBorder="1" applyAlignment="1">
      <alignment horizontal="left" vertical="center"/>
    </xf>
    <xf numFmtId="164" fontId="1" fillId="6" borderId="56" xfId="0" applyNumberFormat="1" applyFont="1" applyFill="1" applyBorder="1" applyAlignment="1">
      <alignment horizontal="left"/>
    </xf>
    <xf numFmtId="167" fontId="1" fillId="4" borderId="30" xfId="0" applyNumberFormat="1" applyFont="1" applyFill="1" applyBorder="1" applyAlignment="1">
      <alignment horizontal="center"/>
    </xf>
    <xf numFmtId="167" fontId="1" fillId="4" borderId="62" xfId="0" applyNumberFormat="1" applyFont="1" applyFill="1" applyBorder="1" applyAlignment="1">
      <alignment horizontal="center"/>
    </xf>
    <xf numFmtId="167" fontId="1" fillId="4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5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D1-4EA1-B3FC-70954B53F8B8}"/>
            </c:ext>
          </c:extLst>
        </c:ser>
        <c:ser>
          <c:idx val="2"/>
          <c:order val="1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D1-4EA1-B3FC-70954B53F8B8}"/>
            </c:ext>
          </c:extLst>
        </c:ser>
        <c:ser>
          <c:idx val="0"/>
          <c:order val="2"/>
          <c:tx>
            <c:v>Stage 1 Op 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'2-Stage No Recycle'!$P$11:$P$12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No Recycle'!$Q$11:$Q$12</c:f>
              <c:numCache>
                <c:formatCode>0.00</c:formatCode>
                <c:ptCount val="2"/>
                <c:pt idx="0">
                  <c:v>0.70100091555341038</c:v>
                </c:pt>
                <c:pt idx="1">
                  <c:v>0.20100091555341026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D1-4EA1-B3FC-70954B53F8B8}"/>
            </c:ext>
          </c:extLst>
        </c:ser>
        <c:ser>
          <c:idx val="3"/>
          <c:order val="3"/>
          <c:tx>
            <c:v>Stage 2 Op Line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'2-Stage No Recycle'!$P$13:$P$14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No Recycle'!$Q$13:$Q$14</c:f>
              <c:numCache>
                <c:formatCode>0.00</c:formatCode>
                <c:ptCount val="2"/>
                <c:pt idx="0">
                  <c:v>0.60000000000000009</c:v>
                </c:pt>
                <c:pt idx="1">
                  <c:v>0.10000000000000009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D1-4EA1-B3FC-70954B53F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801872"/>
        <c:axId val="287802432"/>
      </c:scatterChart>
      <c:valAx>
        <c:axId val="287801872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7802432"/>
        <c:crosses val="autoZero"/>
        <c:crossBetween val="midCat"/>
        <c:majorUnit val="0.1"/>
        <c:minorUnit val="5.000000000000001E-2"/>
      </c:valAx>
      <c:valAx>
        <c:axId val="28780243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7801872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2328524787851828"/>
          <c:y val="6.4284155897355047E-2"/>
          <c:w val="0.24854472908310773"/>
          <c:h val="0.24280072283776796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635807820819688E-2"/>
          <c:w val="0.83897418688217562"/>
          <c:h val="0.81063005323327419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34-429D-9705-9AC1E61E19EF}"/>
            </c:ext>
          </c:extLst>
        </c:ser>
        <c:ser>
          <c:idx val="0"/>
          <c:order val="1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34-429D-9705-9AC1E61E19EF}"/>
            </c:ext>
          </c:extLst>
        </c:ser>
        <c:ser>
          <c:idx val="3"/>
          <c:order val="2"/>
          <c:tx>
            <c:v>Stage 2 Op Line</c:v>
          </c:tx>
          <c:marker>
            <c:symbol val="none"/>
          </c:marker>
          <c:xVal>
            <c:numRef>
              <c:f>'2-Stage No Recycle'!$P$6:$P$7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No Recycle'!$Q$6:$Q$7</c:f>
              <c:numCache>
                <c:formatCode>0.00</c:formatCode>
                <c:ptCount val="2"/>
                <c:pt idx="0">
                  <c:v>99.684220549079086</c:v>
                </c:pt>
                <c:pt idx="1">
                  <c:v>99.684220549079086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F34-429D-9705-9AC1E61E19EF}"/>
            </c:ext>
          </c:extLst>
        </c:ser>
        <c:ser>
          <c:idx val="2"/>
          <c:order val="3"/>
          <c:tx>
            <c:v>Stage 1 Op 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'2-Stage No Recycle'!$P$4:$P$5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No Recycle'!$Q$4:$Q$5</c:f>
              <c:numCache>
                <c:formatCode>0.00</c:formatCode>
                <c:ptCount val="2"/>
                <c:pt idx="0">
                  <c:v>97.649742661290944</c:v>
                </c:pt>
                <c:pt idx="1">
                  <c:v>97.649742661290944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F34-429D-9705-9AC1E61E1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89904"/>
        <c:axId val="286290464"/>
      </c:scatterChart>
      <c:valAx>
        <c:axId val="28628990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 benzene)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90464"/>
        <c:crosses val="autoZero"/>
        <c:crossBetween val="midCat"/>
        <c:majorUnit val="0.1"/>
        <c:minorUnit val="5.000000000000001E-2"/>
      </c:valAx>
      <c:valAx>
        <c:axId val="286290464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89904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51391303804616"/>
          <c:y val="0.53004191110571142"/>
          <c:w val="0.2446947627505815"/>
          <c:h val="0.2450486185364252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3.8417612459982806E-2"/>
          <c:w val="0.85083014623172104"/>
          <c:h val="0.81328058559782002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53-4AA6-A0C0-8AD52B383CDD}"/>
            </c:ext>
          </c:extLst>
        </c:ser>
        <c:ser>
          <c:idx val="2"/>
          <c:order val="1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53-4AA6-A0C0-8AD52B383CDD}"/>
            </c:ext>
          </c:extLst>
        </c:ser>
        <c:ser>
          <c:idx val="0"/>
          <c:order val="2"/>
          <c:tx>
            <c:v>Stage 1 Op 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D53-4AA6-A0C0-8AD52B383CDD}"/>
              </c:ext>
            </c:extLst>
          </c:dPt>
          <c:xVal>
            <c:numRef>
              <c:f>'2-Stage w Recycle'!$T$11:$T$12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w Recycle'!$U$11:$U$12</c:f>
              <c:numCache>
                <c:formatCode>0.00</c:formatCode>
                <c:ptCount val="2"/>
                <c:pt idx="0">
                  <c:v>0.78188834418633502</c:v>
                </c:pt>
                <c:pt idx="1">
                  <c:v>-0.21811165581336101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53-4AA6-A0C0-8AD52B383CDD}"/>
            </c:ext>
          </c:extLst>
        </c:ser>
        <c:ser>
          <c:idx val="3"/>
          <c:order val="3"/>
          <c:tx>
            <c:v>Stage 2 Op Line</c:v>
          </c:tx>
          <c:marker>
            <c:symbol val="none"/>
          </c:marker>
          <c:xVal>
            <c:numRef>
              <c:f>'2-Stage w Recycle'!$T$13:$T$14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w Recycle'!$U$13:$U$14</c:f>
              <c:numCache>
                <c:formatCode>0.00</c:formatCode>
                <c:ptCount val="2"/>
                <c:pt idx="0">
                  <c:v>0.44346926302266537</c:v>
                </c:pt>
                <c:pt idx="1">
                  <c:v>0.19346926302262757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D53-4AA6-A0C0-8AD52B383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40272"/>
        <c:axId val="286240832"/>
      </c:scatterChart>
      <c:valAx>
        <c:axId val="286240272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40832"/>
        <c:crosses val="autoZero"/>
        <c:crossBetween val="midCat"/>
        <c:majorUnit val="0.1"/>
        <c:minorUnit val="5.000000000000001E-2"/>
      </c:valAx>
      <c:valAx>
        <c:axId val="28624083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40272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720726767585271"/>
          <c:y val="0.34498186226772859"/>
          <c:w val="0.23943666696976029"/>
          <c:h val="0.2212887617300528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006582452916"/>
          <c:y val="2.4143093127380121E-2"/>
          <c:w val="0.83897418688217562"/>
          <c:h val="0.79649324454548176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D3-44AA-9B75-62845996E04A}"/>
            </c:ext>
          </c:extLst>
        </c:ser>
        <c:ser>
          <c:idx val="0"/>
          <c:order val="1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3-44AA-9B75-62845996E04A}"/>
            </c:ext>
          </c:extLst>
        </c:ser>
        <c:ser>
          <c:idx val="3"/>
          <c:order val="2"/>
          <c:tx>
            <c:v>Stage 2 Op Line</c:v>
          </c:tx>
          <c:marker>
            <c:symbol val="none"/>
          </c:marker>
          <c:xVal>
            <c:numRef>
              <c:f>'2-Stage w Recycle'!$T$6:$T$7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w Recycle'!$U$6:$U$7</c:f>
              <c:numCache>
                <c:formatCode>0.00</c:formatCode>
                <c:ptCount val="2"/>
                <c:pt idx="0">
                  <c:v>101.72094133671851</c:v>
                </c:pt>
                <c:pt idx="1">
                  <c:v>101.72094133671851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D3-44AA-9B75-62845996E04A}"/>
            </c:ext>
          </c:extLst>
        </c:ser>
        <c:ser>
          <c:idx val="2"/>
          <c:order val="3"/>
          <c:tx>
            <c:v>Stage 1 Op Line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'2-Stage w Recycle'!$T$4:$T$5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'2-Stage w Recycle'!$U$4:$U$5</c:f>
              <c:numCache>
                <c:formatCode>0.00</c:formatCode>
                <c:ptCount val="2"/>
                <c:pt idx="0">
                  <c:v>98.916839942268908</c:v>
                </c:pt>
                <c:pt idx="1">
                  <c:v>98.916839942268908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D3-44AA-9B75-62845996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511456"/>
        <c:axId val="284699296"/>
      </c:scatterChart>
      <c:valAx>
        <c:axId val="286511456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 benzene)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4699296"/>
        <c:crosses val="autoZero"/>
        <c:crossBetween val="midCat"/>
        <c:majorUnit val="0.1"/>
        <c:minorUnit val="5.000000000000001E-2"/>
      </c:valAx>
      <c:valAx>
        <c:axId val="284699296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511456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358493111098614"/>
          <c:y val="5.9738273445634829E-2"/>
          <c:w val="0.24045029530804141"/>
          <c:h val="0.22936693812307707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7.6788908544837414E-2"/>
          <c:w val="0.85083014623172104"/>
          <c:h val="0.7749093224038685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4B-4C5B-A613-068B1C584984}"/>
            </c:ext>
          </c:extLst>
        </c:ser>
        <c:ser>
          <c:idx val="2"/>
          <c:order val="1"/>
          <c:tx>
            <c:v>45 Degree Line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4B-4C5B-A613-068B1C584984}"/>
            </c:ext>
          </c:extLst>
        </c:ser>
        <c:ser>
          <c:idx val="0"/>
          <c:order val="2"/>
          <c:tx>
            <c:v>Leaving Streams</c:v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'5-Stage'!$W$5:$W$9</c:f>
              <c:numCache>
                <c:formatCode>0.000</c:formatCode>
                <c:ptCount val="5"/>
                <c:pt idx="0">
                  <c:v>0.6117432363793881</c:v>
                </c:pt>
                <c:pt idx="1">
                  <c:v>0.49010079626694425</c:v>
                </c:pt>
                <c:pt idx="2">
                  <c:v>0.42299105131840931</c:v>
                </c:pt>
                <c:pt idx="3">
                  <c:v>0.31904216382146994</c:v>
                </c:pt>
                <c:pt idx="4">
                  <c:v>0.20128567129829372</c:v>
                </c:pt>
              </c:numCache>
            </c:numRef>
          </c:xVal>
          <c:yVal>
            <c:numRef>
              <c:f>'5-Stage'!$X$5:$X$9</c:f>
              <c:numCache>
                <c:formatCode>0.000</c:formatCode>
                <c:ptCount val="5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4B-4C5B-A613-068B1C584984}"/>
            </c:ext>
          </c:extLst>
        </c:ser>
        <c:ser>
          <c:idx val="3"/>
          <c:order val="3"/>
          <c:tx>
            <c:v>Passing Streams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'5-Stage'!$Y$5:$Y$10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0.6117432363793881</c:v>
                </c:pt>
                <c:pt idx="2">
                  <c:v>0.49010079626694425</c:v>
                </c:pt>
                <c:pt idx="3">
                  <c:v>0.42299105131840931</c:v>
                </c:pt>
                <c:pt idx="4">
                  <c:v>0.31904216382146994</c:v>
                </c:pt>
                <c:pt idx="5">
                  <c:v>0.20128567129829372</c:v>
                </c:pt>
              </c:numCache>
            </c:numRef>
          </c:xVal>
          <c:yVal>
            <c:numRef>
              <c:f>'5-Stage'!$Z$5:$Z$10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  <c:pt idx="5">
                  <c:v>0.20128567129829372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F4B-4C5B-A613-068B1C584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816400"/>
        <c:axId val="284816960"/>
      </c:scatterChart>
      <c:valAx>
        <c:axId val="284816400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4816960"/>
        <c:crosses val="autoZero"/>
        <c:crossBetween val="midCat"/>
        <c:majorUnit val="0.1"/>
        <c:minorUnit val="5.000000000000001E-2"/>
      </c:valAx>
      <c:valAx>
        <c:axId val="28481696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4816400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0071368134495837"/>
          <c:y val="0.44395065442769938"/>
          <c:w val="0.22956194643479771"/>
          <c:h val="0.2692910986765148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1990282180749"/>
          <c:y val="7.6788987920127033E-2"/>
          <c:w val="0.85083014623172104"/>
          <c:h val="0.7749093224038685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C0-4B11-988B-5AABBACD4F3B}"/>
            </c:ext>
          </c:extLst>
        </c:ser>
        <c:ser>
          <c:idx val="2"/>
          <c:order val="1"/>
          <c:tx>
            <c:v>45 Degree Line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C0-4B11-988B-5AABBACD4F3B}"/>
            </c:ext>
          </c:extLst>
        </c:ser>
        <c:ser>
          <c:idx val="0"/>
          <c:order val="2"/>
          <c:tx>
            <c:v>Leaving Streams</c:v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'5-Stage'!$W$5:$W$9</c:f>
              <c:numCache>
                <c:formatCode>0.000</c:formatCode>
                <c:ptCount val="5"/>
                <c:pt idx="0">
                  <c:v>0.6117432363793881</c:v>
                </c:pt>
                <c:pt idx="1">
                  <c:v>0.49010079626694425</c:v>
                </c:pt>
                <c:pt idx="2">
                  <c:v>0.42299105131840931</c:v>
                </c:pt>
                <c:pt idx="3">
                  <c:v>0.31904216382146994</c:v>
                </c:pt>
                <c:pt idx="4">
                  <c:v>0.20128567129829372</c:v>
                </c:pt>
              </c:numCache>
            </c:numRef>
          </c:xVal>
          <c:yVal>
            <c:numRef>
              <c:f>'5-Stage'!$X$5:$X$9</c:f>
              <c:numCache>
                <c:formatCode>0.000</c:formatCode>
                <c:ptCount val="5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0C0-4B11-988B-5AABBACD4F3B}"/>
            </c:ext>
          </c:extLst>
        </c:ser>
        <c:ser>
          <c:idx val="3"/>
          <c:order val="3"/>
          <c:tx>
            <c:v>Passing Streams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'5-Stage'!$Y$5:$Y$10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0.6117432363793881</c:v>
                </c:pt>
                <c:pt idx="2">
                  <c:v>0.49010079626694425</c:v>
                </c:pt>
                <c:pt idx="3">
                  <c:v>0.42299105131840931</c:v>
                </c:pt>
                <c:pt idx="4">
                  <c:v>0.31904216382146994</c:v>
                </c:pt>
                <c:pt idx="5">
                  <c:v>0.20128567129829372</c:v>
                </c:pt>
              </c:numCache>
            </c:numRef>
          </c:xVal>
          <c:yVal>
            <c:numRef>
              <c:f>'5-Stage'!$Z$5:$Z$10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  <c:pt idx="5">
                  <c:v>0.20128567129829372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0C0-4B11-988B-5AABBACD4F3B}"/>
            </c:ext>
          </c:extLst>
        </c:ser>
        <c:ser>
          <c:idx val="4"/>
          <c:order val="4"/>
          <c:tx>
            <c:v>Bottom Op Line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'5-Stage'!$Y$31:$Y$32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'5-Stage'!$Z$31:$Z$32</c:f>
              <c:numCache>
                <c:formatCode>0.000</c:formatCode>
                <c:ptCount val="2"/>
                <c:pt idx="0">
                  <c:v>-0.10064283564914683</c:v>
                </c:pt>
                <c:pt idx="1">
                  <c:v>1.3993571643508527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0C0-4B11-988B-5AABBACD4F3B}"/>
            </c:ext>
          </c:extLst>
        </c:ser>
        <c:ser>
          <c:idx val="5"/>
          <c:order val="5"/>
          <c:tx>
            <c:v>Top Op Line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'5-Stage'!$W$31:$W$32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'5-Stage'!$X$31:$X$32</c:f>
              <c:numCache>
                <c:formatCode>0.000</c:formatCode>
                <c:ptCount val="2"/>
                <c:pt idx="0">
                  <c:v>0.39935716838151747</c:v>
                </c:pt>
                <c:pt idx="1">
                  <c:v>0.8993571683815178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0C0-4B11-988B-5AABBACD4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13248"/>
        <c:axId val="284413808"/>
      </c:scatterChart>
      <c:valAx>
        <c:axId val="284413248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4413808"/>
        <c:crosses val="autoZero"/>
        <c:crossBetween val="midCat"/>
        <c:majorUnit val="0.1"/>
        <c:minorUnit val="5.000000000000001E-2"/>
      </c:valAx>
      <c:valAx>
        <c:axId val="28441380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4413248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88430037548916"/>
          <c:y val="0.45202883082072365"/>
          <c:w val="0.29273729858446029"/>
          <c:h val="0.33997514211547719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7861049687"/>
          <c:y val="7.8810177949071428E-2"/>
          <c:w val="0.85083014623172104"/>
          <c:h val="0.77490932240386856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67-4C26-A74D-96AB5E0DC522}"/>
            </c:ext>
          </c:extLst>
        </c:ser>
        <c:ser>
          <c:idx val="2"/>
          <c:order val="1"/>
          <c:tx>
            <c:v>45 Degree Line</c:v>
          </c:tx>
          <c:spPr>
            <a:ln w="285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67-4C26-A74D-96AB5E0DC522}"/>
            </c:ext>
          </c:extLst>
        </c:ser>
        <c:ser>
          <c:idx val="0"/>
          <c:order val="2"/>
          <c:tx>
            <c:v>Leaving Streams</c:v>
          </c:tx>
          <c:spPr>
            <a:ln>
              <a:noFill/>
            </a:ln>
          </c:spPr>
          <c:marker>
            <c:symbol val="squar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'5-Stage'!$W$5:$W$9</c:f>
              <c:numCache>
                <c:formatCode>0.000</c:formatCode>
                <c:ptCount val="5"/>
                <c:pt idx="0">
                  <c:v>0.6117432363793881</c:v>
                </c:pt>
                <c:pt idx="1">
                  <c:v>0.49010079626694425</c:v>
                </c:pt>
                <c:pt idx="2">
                  <c:v>0.42299105131840931</c:v>
                </c:pt>
                <c:pt idx="3">
                  <c:v>0.31904216382146994</c:v>
                </c:pt>
                <c:pt idx="4">
                  <c:v>0.20128567129829372</c:v>
                </c:pt>
              </c:numCache>
            </c:numRef>
          </c:xVal>
          <c:yVal>
            <c:numRef>
              <c:f>'5-Stage'!$X$5:$X$9</c:f>
              <c:numCache>
                <c:formatCode>0.000</c:formatCode>
                <c:ptCount val="5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67-4C26-A74D-96AB5E0DC522}"/>
            </c:ext>
          </c:extLst>
        </c:ser>
        <c:ser>
          <c:idx val="3"/>
          <c:order val="3"/>
          <c:tx>
            <c:v>Passing Streams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'5-Stage'!$Y$5:$Y$10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0.6117432363793881</c:v>
                </c:pt>
                <c:pt idx="2">
                  <c:v>0.49010079626694425</c:v>
                </c:pt>
                <c:pt idx="3">
                  <c:v>0.42299105131840931</c:v>
                </c:pt>
                <c:pt idx="4">
                  <c:v>0.31904216382146994</c:v>
                </c:pt>
                <c:pt idx="5">
                  <c:v>0.20128567129829372</c:v>
                </c:pt>
              </c:numCache>
            </c:numRef>
          </c:xVal>
          <c:yVal>
            <c:numRef>
              <c:f>'5-Stage'!$Z$5:$Z$10</c:f>
              <c:numCache>
                <c:formatCode>0.000</c:formatCode>
                <c:ptCount val="6"/>
                <c:pt idx="0">
                  <c:v>0.79871433676303516</c:v>
                </c:pt>
                <c:pt idx="1">
                  <c:v>0.70522878657121058</c:v>
                </c:pt>
                <c:pt idx="2">
                  <c:v>0.64440756651498798</c:v>
                </c:pt>
                <c:pt idx="3">
                  <c:v>0.53384374506484034</c:v>
                </c:pt>
                <c:pt idx="4">
                  <c:v>0.37792041063184489</c:v>
                </c:pt>
                <c:pt idx="5">
                  <c:v>0.20128567129829372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67-4C26-A74D-96AB5E0DC522}"/>
            </c:ext>
          </c:extLst>
        </c:ser>
        <c:ser>
          <c:idx val="4"/>
          <c:order val="4"/>
          <c:tx>
            <c:v>Bottom Op Line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'5-Stage'!$Y$31:$Y$32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'5-Stage'!$Z$31:$Z$32</c:f>
              <c:numCache>
                <c:formatCode>0.000</c:formatCode>
                <c:ptCount val="2"/>
                <c:pt idx="0">
                  <c:v>-0.10064283564914683</c:v>
                </c:pt>
                <c:pt idx="1">
                  <c:v>1.3993571643508527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767-4C26-A74D-96AB5E0DC522}"/>
            </c:ext>
          </c:extLst>
        </c:ser>
        <c:ser>
          <c:idx val="5"/>
          <c:order val="5"/>
          <c:tx>
            <c:v>Top Op Line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'5-Stage'!$W$31:$W$32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'5-Stage'!$X$31:$X$32</c:f>
              <c:numCache>
                <c:formatCode>0.000</c:formatCode>
                <c:ptCount val="2"/>
                <c:pt idx="0">
                  <c:v>0.39935716838151747</c:v>
                </c:pt>
                <c:pt idx="1">
                  <c:v>0.8993571683815178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767-4C26-A74D-96AB5E0DC522}"/>
            </c:ext>
          </c:extLst>
        </c:ser>
        <c:ser>
          <c:idx val="6"/>
          <c:order val="6"/>
          <c:tx>
            <c:v>Stair Steps</c:v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'5-Stage'!$W$14:$W$24</c:f>
              <c:numCache>
                <c:formatCode>0.000</c:formatCode>
                <c:ptCount val="11"/>
                <c:pt idx="0">
                  <c:v>0.79871433676303516</c:v>
                </c:pt>
                <c:pt idx="1">
                  <c:v>0.6117432363793881</c:v>
                </c:pt>
                <c:pt idx="2">
                  <c:v>0.6117432363793881</c:v>
                </c:pt>
                <c:pt idx="3">
                  <c:v>0.49010079626694425</c:v>
                </c:pt>
                <c:pt idx="4">
                  <c:v>0.49010079626694425</c:v>
                </c:pt>
                <c:pt idx="5">
                  <c:v>0.42299105131840931</c:v>
                </c:pt>
                <c:pt idx="6">
                  <c:v>0.42299105131840931</c:v>
                </c:pt>
                <c:pt idx="7">
                  <c:v>0.31904216382146994</c:v>
                </c:pt>
                <c:pt idx="8">
                  <c:v>0.31904216382146994</c:v>
                </c:pt>
                <c:pt idx="9">
                  <c:v>0.20128567129829372</c:v>
                </c:pt>
                <c:pt idx="10">
                  <c:v>0.20128567129829372</c:v>
                </c:pt>
              </c:numCache>
            </c:numRef>
          </c:xVal>
          <c:yVal>
            <c:numRef>
              <c:f>'5-Stage'!$X$14:$X$24</c:f>
              <c:numCache>
                <c:formatCode>0.000</c:formatCode>
                <c:ptCount val="11"/>
                <c:pt idx="0">
                  <c:v>0.79871433676303516</c:v>
                </c:pt>
                <c:pt idx="1">
                  <c:v>0.79871433676303516</c:v>
                </c:pt>
                <c:pt idx="2">
                  <c:v>0.70522878657121058</c:v>
                </c:pt>
                <c:pt idx="3">
                  <c:v>0.70522878657121058</c:v>
                </c:pt>
                <c:pt idx="4">
                  <c:v>0.64440756651498798</c:v>
                </c:pt>
                <c:pt idx="5">
                  <c:v>0.64440756651498798</c:v>
                </c:pt>
                <c:pt idx="6">
                  <c:v>0.53384374506484034</c:v>
                </c:pt>
                <c:pt idx="7">
                  <c:v>0.53384374506484034</c:v>
                </c:pt>
                <c:pt idx="8">
                  <c:v>0.37792041063184489</c:v>
                </c:pt>
                <c:pt idx="9">
                  <c:v>0.37792041063184489</c:v>
                </c:pt>
                <c:pt idx="10">
                  <c:v>0.20128567129829372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67-4C26-A74D-96AB5E0D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16000"/>
        <c:axId val="285116560"/>
      </c:scatterChart>
      <c:valAx>
        <c:axId val="285116000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116560"/>
        <c:crosses val="autoZero"/>
        <c:crossBetween val="midCat"/>
        <c:majorUnit val="0.1"/>
        <c:minorUnit val="5.000000000000001E-2"/>
      </c:valAx>
      <c:valAx>
        <c:axId val="28511656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116000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313074648717971"/>
          <c:y val="0.45000928672246759"/>
          <c:w val="0.28245293893218965"/>
          <c:h val="0.38036602408059866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4.447624475475101E-2"/>
          <c:w val="0.85083014623172104"/>
          <c:h val="0.8072219533030518"/>
        </c:manualLayout>
      </c:layout>
      <c:scatterChart>
        <c:scatterStyle val="smoothMarker"/>
        <c:varyColors val="0"/>
        <c:ser>
          <c:idx val="1"/>
          <c:order val="0"/>
          <c:tx>
            <c:v>Equilibrium Curve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32-40C0-94A4-3D13C0390905}"/>
            </c:ext>
          </c:extLst>
        </c:ser>
        <c:ser>
          <c:idx val="2"/>
          <c:order val="1"/>
          <c:tx>
            <c:v>45 Degree Line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VLE!$H$9:$H$10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VLE!$I$9:$I$10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32-40C0-94A4-3D13C039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499680"/>
        <c:axId val="286500240"/>
      </c:scatterChart>
      <c:valAx>
        <c:axId val="286499680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500240"/>
        <c:crosses val="autoZero"/>
        <c:crossBetween val="midCat"/>
        <c:majorUnit val="0.1"/>
        <c:minorUnit val="5.000000000000001E-2"/>
      </c:valAx>
      <c:valAx>
        <c:axId val="286500240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499680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641388542322494"/>
          <c:y val="0.51458002138005265"/>
          <c:w val="0.24854472908310773"/>
          <c:h val="0.1558896124678459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2341078191238"/>
          <c:y val="4.4338534109940812E-2"/>
          <c:w val="0.83897418688217562"/>
          <c:h val="0.8126495973315303"/>
        </c:manualLayout>
      </c:layout>
      <c:scatterChart>
        <c:scatterStyle val="smoothMarker"/>
        <c:varyColors val="0"/>
        <c:ser>
          <c:idx val="1"/>
          <c:order val="0"/>
          <c:tx>
            <c:v>Dew Point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VLE!$B$4:$B$104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6.7940198739404933E-2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0.17106376486842934</c:v>
                </c:pt>
                <c:pt idx="9">
                  <c:v>0.19030244159139276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0.40528629826463386</c:v>
                </c:pt>
                <c:pt idx="23">
                  <c:v>0.41947648061366344</c:v>
                </c:pt>
                <c:pt idx="24">
                  <c:v>0.43337559162885175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0.47340246894369153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0.54656579746690803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0.61164812359406939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0.64151963613051721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0.66977893788757892</c:v>
                </c:pt>
                <c:pt idx="46">
                  <c:v>0.67886012630968184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0.7051428361012344</c:v>
                </c:pt>
                <c:pt idx="50">
                  <c:v>0.7135957810864505</c:v>
                </c:pt>
                <c:pt idx="51">
                  <c:v>0.72190064933631404</c:v>
                </c:pt>
                <c:pt idx="52">
                  <c:v>0.73006083288467694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0.77616191674036505</c:v>
                </c:pt>
                <c:pt idx="59">
                  <c:v>0.78339667858879225</c:v>
                </c:pt>
                <c:pt idx="60">
                  <c:v>0.79051071771496673</c:v>
                </c:pt>
                <c:pt idx="61">
                  <c:v>0.79750667356431981</c:v>
                </c:pt>
                <c:pt idx="62">
                  <c:v>0.80438711473845781</c:v>
                </c:pt>
                <c:pt idx="63">
                  <c:v>0.81115454122168185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0.83714181646738595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0.88437364720376266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0.90586795100632689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0.99612810833333465</c:v>
                </c:pt>
                <c:pt idx="100">
                  <c:v>0.99999930379029689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85-4EB1-89A0-9E3EEAA1F647}"/>
            </c:ext>
          </c:extLst>
        </c:ser>
        <c:ser>
          <c:idx val="0"/>
          <c:order val="1"/>
          <c:tx>
            <c:v>Bubble Point Curve</c:v>
          </c:tx>
          <c:marker>
            <c:symbol val="none"/>
          </c:marker>
          <c:xVal>
            <c:numRef>
              <c:f>VLE!$A$4:$A$104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VLE!$C$4:$C$104</c:f>
              <c:numCache>
                <c:formatCode>0.0</c:formatCode>
                <c:ptCount val="101"/>
                <c:pt idx="0">
                  <c:v>110.62216088942701</c:v>
                </c:pt>
                <c:pt idx="1">
                  <c:v>110.15096938668003</c:v>
                </c:pt>
                <c:pt idx="2">
                  <c:v>109.68504059995139</c:v>
                </c:pt>
                <c:pt idx="3">
                  <c:v>109.22428647736747</c:v>
                </c:pt>
                <c:pt idx="4">
                  <c:v>108.76862065606146</c:v>
                </c:pt>
                <c:pt idx="5">
                  <c:v>108.31795843488221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106.99517070816007</c:v>
                </c:pt>
                <c:pt idx="9">
                  <c:v>106.56370814572331</c:v>
                </c:pt>
                <c:pt idx="10">
                  <c:v>106.1368496377237</c:v>
                </c:pt>
                <c:pt idx="11">
                  <c:v>105.71451987323739</c:v>
                </c:pt>
                <c:pt idx="12">
                  <c:v>105.29664500966717</c:v>
                </c:pt>
                <c:pt idx="13">
                  <c:v>104.88315264536996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103.66826757643446</c:v>
                </c:pt>
                <c:pt idx="17">
                  <c:v>103.27160906471067</c:v>
                </c:pt>
                <c:pt idx="18">
                  <c:v>102.87899171448592</c:v>
                </c:pt>
                <c:pt idx="19">
                  <c:v>102.49035120701588</c:v>
                </c:pt>
                <c:pt idx="20">
                  <c:v>102.10562447941368</c:v>
                </c:pt>
                <c:pt idx="21">
                  <c:v>101.72474969939998</c:v>
                </c:pt>
                <c:pt idx="22">
                  <c:v>101.3476662403983</c:v>
                </c:pt>
                <c:pt idx="23">
                  <c:v>100.97431465698807</c:v>
                </c:pt>
                <c:pt idx="24">
                  <c:v>100.60463666072332</c:v>
                </c:pt>
                <c:pt idx="25">
                  <c:v>100.23857509632623</c:v>
                </c:pt>
                <c:pt idx="26">
                  <c:v>99.876073918260985</c:v>
                </c:pt>
                <c:pt idx="27">
                  <c:v>99.517078167694081</c:v>
                </c:pt>
                <c:pt idx="28">
                  <c:v>99.161533949844568</c:v>
                </c:pt>
                <c:pt idx="29">
                  <c:v>98.809388411727497</c:v>
                </c:pt>
                <c:pt idx="30">
                  <c:v>98.460589720292276</c:v>
                </c:pt>
                <c:pt idx="31">
                  <c:v>98.115087040957491</c:v>
                </c:pt>
                <c:pt idx="32">
                  <c:v>97.772830516542186</c:v>
                </c:pt>
                <c:pt idx="33">
                  <c:v>97.433771246593309</c:v>
                </c:pt>
                <c:pt idx="34">
                  <c:v>97.097861267108129</c:v>
                </c:pt>
                <c:pt idx="35">
                  <c:v>96.765053530649638</c:v>
                </c:pt>
                <c:pt idx="36">
                  <c:v>96.43530188685358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95.463935065367949</c:v>
                </c:pt>
                <c:pt idx="40">
                  <c:v>95.145963569408025</c:v>
                </c:pt>
                <c:pt idx="41">
                  <c:v>94.830830215093059</c:v>
                </c:pt>
                <c:pt idx="42">
                  <c:v>94.518493846626654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93.597866568971753</c:v>
                </c:pt>
                <c:pt idx="46">
                  <c:v>93.296321766254408</c:v>
                </c:pt>
                <c:pt idx="47">
                  <c:v>92.997379414974972</c:v>
                </c:pt>
                <c:pt idx="48">
                  <c:v>92.701002746565692</c:v>
                </c:pt>
                <c:pt idx="49">
                  <c:v>92.407155669951848</c:v>
                </c:pt>
                <c:pt idx="50">
                  <c:v>92.115802757093192</c:v>
                </c:pt>
                <c:pt idx="51">
                  <c:v>91.826909228844812</c:v>
                </c:pt>
                <c:pt idx="52">
                  <c:v>91.540440941132019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90.695255324771793</c:v>
                </c:pt>
                <c:pt idx="56">
                  <c:v>90.418158793077254</c:v>
                </c:pt>
                <c:pt idx="57">
                  <c:v>90.143325844964977</c:v>
                </c:pt>
                <c:pt idx="58">
                  <c:v>89.870725873301339</c:v>
                </c:pt>
                <c:pt idx="59">
                  <c:v>89.600328817547805</c:v>
                </c:pt>
                <c:pt idx="60">
                  <c:v>89.332105152236991</c:v>
                </c:pt>
                <c:pt idx="61">
                  <c:v>89.066025875711034</c:v>
                </c:pt>
                <c:pt idx="62">
                  <c:v>88.802062499116261</c:v>
                </c:pt>
                <c:pt idx="63">
                  <c:v>88.540187035648131</c:v>
                </c:pt>
                <c:pt idx="64">
                  <c:v>88.280371990041871</c:v>
                </c:pt>
                <c:pt idx="65">
                  <c:v>88.022590348302472</c:v>
                </c:pt>
                <c:pt idx="66">
                  <c:v>87.766815567669539</c:v>
                </c:pt>
                <c:pt idx="67">
                  <c:v>87.513021566811204</c:v>
                </c:pt>
                <c:pt idx="68">
                  <c:v>87.261182716242331</c:v>
                </c:pt>
                <c:pt idx="69">
                  <c:v>87.011273828961691</c:v>
                </c:pt>
                <c:pt idx="70">
                  <c:v>86.763270151303203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86.030449153123641</c:v>
                </c:pt>
                <c:pt idx="74">
                  <c:v>85.789827135372093</c:v>
                </c:pt>
                <c:pt idx="75">
                  <c:v>85.550992753110975</c:v>
                </c:pt>
                <c:pt idx="76">
                  <c:v>85.313923671944735</c:v>
                </c:pt>
                <c:pt idx="77">
                  <c:v>85.078597932366108</c:v>
                </c:pt>
                <c:pt idx="78">
                  <c:v>84.844993942150921</c:v>
                </c:pt>
                <c:pt idx="79">
                  <c:v>84.613090468926615</c:v>
                </c:pt>
                <c:pt idx="80">
                  <c:v>84.382866632909398</c:v>
                </c:pt>
                <c:pt idx="81">
                  <c:v>84.154301899806939</c:v>
                </c:pt>
                <c:pt idx="82">
                  <c:v>83.927376073881661</c:v>
                </c:pt>
                <c:pt idx="83">
                  <c:v>83.702069291171995</c:v>
                </c:pt>
                <c:pt idx="84">
                  <c:v>83.478362012866583</c:v>
                </c:pt>
                <c:pt idx="85">
                  <c:v>83.256235018829088</c:v>
                </c:pt>
                <c:pt idx="86">
                  <c:v>83.035669401268265</c:v>
                </c:pt>
                <c:pt idx="87">
                  <c:v>82.816646558552335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82.168653129496974</c:v>
                </c:pt>
                <c:pt idx="91">
                  <c:v>81.955621284204156</c:v>
                </c:pt>
                <c:pt idx="92">
                  <c:v>81.744043591024507</c:v>
                </c:pt>
                <c:pt idx="93">
                  <c:v>81.533903162938515</c:v>
                </c:pt>
                <c:pt idx="94">
                  <c:v>81.325183379500714</c:v>
                </c:pt>
                <c:pt idx="95">
                  <c:v>81.11786788167845</c:v>
                </c:pt>
                <c:pt idx="96">
                  <c:v>80.911940566805882</c:v>
                </c:pt>
                <c:pt idx="97">
                  <c:v>80.707385583649497</c:v>
                </c:pt>
                <c:pt idx="98">
                  <c:v>80.504187327583125</c:v>
                </c:pt>
                <c:pt idx="99">
                  <c:v>80.302330435803199</c:v>
                </c:pt>
                <c:pt idx="100">
                  <c:v>80.101777174105038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85-4EB1-89A0-9E3EEAA1F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37280"/>
        <c:axId val="285237840"/>
      </c:scatterChart>
      <c:valAx>
        <c:axId val="285237280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 benzene)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237840"/>
        <c:crosses val="autoZero"/>
        <c:crossBetween val="midCat"/>
        <c:majorUnit val="0.1"/>
        <c:minorUnit val="5.000000000000001E-2"/>
      </c:valAx>
      <c:valAx>
        <c:axId val="285237840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5237280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290251468210914"/>
          <c:y val="0.13219172374926613"/>
          <c:w val="0.2515998599753777"/>
          <c:h val="0.14384713946704558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2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9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856" cy="6284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2513" cy="62817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12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zoomScale="80" zoomScaleNormal="80" workbookViewId="0">
      <selection activeCell="F3" sqref="F3:G5"/>
    </sheetView>
  </sheetViews>
  <sheetFormatPr defaultRowHeight="14.25" x14ac:dyDescent="0.45"/>
  <cols>
    <col min="1" max="1" width="10.46484375" style="1" customWidth="1"/>
    <col min="2" max="2" width="9.1328125" style="1"/>
    <col min="6" max="6" width="10.33203125" bestFit="1" customWidth="1"/>
    <col min="9" max="9" width="9.1328125" style="5"/>
    <col min="10" max="10" width="9.1328125" style="1"/>
    <col min="11" max="11" width="9.1328125" style="5"/>
    <col min="12" max="12" width="15.6640625" style="1" customWidth="1"/>
    <col min="13" max="13" width="25.6640625" style="1" customWidth="1"/>
    <col min="15" max="19" width="16.6640625" customWidth="1"/>
    <col min="20" max="22" width="15.6640625" customWidth="1"/>
  </cols>
  <sheetData>
    <row r="1" spans="1:18" ht="25.9" thickBot="1" x14ac:dyDescent="0.8">
      <c r="A1" s="110" t="s">
        <v>87</v>
      </c>
    </row>
    <row r="2" spans="1:18" ht="21.75" thickTop="1" thickBot="1" x14ac:dyDescent="0.7">
      <c r="B2" s="9"/>
      <c r="C2" s="6"/>
      <c r="D2" s="6"/>
      <c r="E2" s="6"/>
      <c r="F2" s="6"/>
      <c r="G2" s="6"/>
      <c r="H2" s="6"/>
      <c r="I2" s="8"/>
      <c r="J2" s="9"/>
      <c r="K2" s="8"/>
      <c r="L2" s="142" t="s">
        <v>100</v>
      </c>
      <c r="M2" s="143"/>
      <c r="O2" s="125" t="s">
        <v>45</v>
      </c>
      <c r="P2" s="126"/>
      <c r="Q2" s="127"/>
    </row>
    <row r="3" spans="1:18" ht="21.75" thickTop="1" thickBot="1" x14ac:dyDescent="0.7">
      <c r="A3" s="9"/>
      <c r="B3" s="9"/>
      <c r="C3" s="6"/>
      <c r="D3" s="6"/>
      <c r="E3" s="15"/>
      <c r="F3" s="131" t="s">
        <v>130</v>
      </c>
      <c r="G3" s="147">
        <v>760</v>
      </c>
      <c r="H3" s="6"/>
      <c r="L3" s="144" t="s">
        <v>17</v>
      </c>
      <c r="M3" s="145">
        <f>+B16-C12-I20</f>
        <v>0</v>
      </c>
      <c r="O3" s="47"/>
      <c r="P3" s="48" t="s">
        <v>26</v>
      </c>
      <c r="Q3" s="49" t="s">
        <v>25</v>
      </c>
    </row>
    <row r="4" spans="1:18" ht="24.4" thickTop="1" x14ac:dyDescent="0.85">
      <c r="B4" s="136" t="s">
        <v>32</v>
      </c>
      <c r="C4" s="137">
        <v>44.444444444444443</v>
      </c>
      <c r="D4" s="6"/>
      <c r="E4" s="15"/>
      <c r="F4" s="148" t="s">
        <v>131</v>
      </c>
      <c r="G4" s="149">
        <v>2</v>
      </c>
      <c r="H4" s="6"/>
      <c r="L4" s="144" t="s">
        <v>18</v>
      </c>
      <c r="M4" s="145">
        <f>+B16*B17-C12*C13-I20*I21</f>
        <v>0</v>
      </c>
      <c r="O4" s="50" t="s">
        <v>89</v>
      </c>
      <c r="P4" s="51">
        <v>0</v>
      </c>
      <c r="Q4" s="64">
        <f>+F9</f>
        <v>97.649742661290944</v>
      </c>
    </row>
    <row r="5" spans="1:18" ht="24.4" thickBot="1" x14ac:dyDescent="0.9">
      <c r="B5" s="138" t="s">
        <v>33</v>
      </c>
      <c r="C5" s="139">
        <v>0.53919117438366415</v>
      </c>
      <c r="D5" s="6"/>
      <c r="E5" s="15"/>
      <c r="F5" s="133" t="s">
        <v>132</v>
      </c>
      <c r="G5" s="150">
        <v>2</v>
      </c>
      <c r="H5" s="6"/>
      <c r="L5" s="144" t="s">
        <v>15</v>
      </c>
      <c r="M5" s="145">
        <f>+C12-I12-C4</f>
        <v>0</v>
      </c>
      <c r="O5" s="52"/>
      <c r="P5" s="51">
        <v>1</v>
      </c>
      <c r="Q5" s="64">
        <f>+F9</f>
        <v>97.649742661290944</v>
      </c>
    </row>
    <row r="6" spans="1:18" ht="21.75" thickTop="1" thickBot="1" x14ac:dyDescent="0.7">
      <c r="A6" s="9"/>
      <c r="B6" s="9"/>
      <c r="C6" s="6"/>
      <c r="D6" s="6"/>
      <c r="E6" s="16"/>
      <c r="F6" s="13"/>
      <c r="G6" s="13"/>
      <c r="H6" s="6"/>
      <c r="L6" s="144" t="s">
        <v>16</v>
      </c>
      <c r="M6" s="145">
        <f>+C12*C13-C4*C5-I12*I13</f>
        <v>3.8679282532427806E-7</v>
      </c>
      <c r="O6" s="50" t="s">
        <v>90</v>
      </c>
      <c r="P6" s="51">
        <v>0</v>
      </c>
      <c r="Q6" s="64">
        <f>+F17</f>
        <v>99.684220549079086</v>
      </c>
    </row>
    <row r="7" spans="1:18" ht="21.75" thickTop="1" thickBot="1" x14ac:dyDescent="0.7">
      <c r="A7" s="9"/>
      <c r="B7" s="9"/>
      <c r="C7" s="6"/>
      <c r="D7" s="113"/>
      <c r="E7" s="114"/>
      <c r="F7" s="114"/>
      <c r="G7" s="115"/>
      <c r="H7" s="6"/>
      <c r="I7" s="8"/>
      <c r="J7" s="9"/>
      <c r="K7" s="8"/>
      <c r="L7" s="144" t="s">
        <v>21</v>
      </c>
      <c r="M7" s="145">
        <f>+C13-J16*I21</f>
        <v>0</v>
      </c>
      <c r="N7" s="6"/>
      <c r="O7" s="53"/>
      <c r="P7" s="63">
        <v>1</v>
      </c>
      <c r="Q7" s="65">
        <f>+F17</f>
        <v>99.684220549079086</v>
      </c>
    </row>
    <row r="8" spans="1:18" ht="24.75" thickTop="1" thickBot="1" x14ac:dyDescent="0.9">
      <c r="A8" s="20"/>
      <c r="B8" s="21"/>
      <c r="C8" s="6"/>
      <c r="D8" s="116"/>
      <c r="E8" s="124" t="s">
        <v>13</v>
      </c>
      <c r="F8" s="124"/>
      <c r="G8" s="117"/>
      <c r="H8" s="6"/>
      <c r="I8" s="103" t="s">
        <v>38</v>
      </c>
      <c r="J8" s="105">
        <f>10^($P$18-$Q$18/($R$18+F9))/G3</f>
        <v>1.6661271708873109</v>
      </c>
      <c r="L8" s="144" t="s">
        <v>22</v>
      </c>
      <c r="M8" s="145">
        <f>+(1-C13)-J17*(1-I21)</f>
        <v>8.8817841970012523E-16</v>
      </c>
      <c r="N8" s="6"/>
    </row>
    <row r="9" spans="1:18" ht="24.75" thickTop="1" thickBot="1" x14ac:dyDescent="0.9">
      <c r="A9" s="9"/>
      <c r="B9" s="12"/>
      <c r="C9" s="11"/>
      <c r="D9" s="116"/>
      <c r="E9" s="140" t="s">
        <v>37</v>
      </c>
      <c r="F9" s="141">
        <v>97.649742661290944</v>
      </c>
      <c r="G9" s="117"/>
      <c r="H9" s="6"/>
      <c r="I9" s="104" t="s">
        <v>39</v>
      </c>
      <c r="J9" s="106">
        <f>10^($P$19-$Q$19/($R$19+F9))/G3</f>
        <v>0.6812863408107408</v>
      </c>
      <c r="L9" s="144" t="s">
        <v>19</v>
      </c>
      <c r="M9" s="145">
        <f>+C5-J8*I13</f>
        <v>-9.170578518791217E-9</v>
      </c>
      <c r="N9" s="6"/>
      <c r="O9" s="125" t="s">
        <v>44</v>
      </c>
      <c r="P9" s="126"/>
      <c r="Q9" s="127"/>
    </row>
    <row r="10" spans="1:18" ht="21.75" thickTop="1" thickBot="1" x14ac:dyDescent="0.7">
      <c r="A10" s="9"/>
      <c r="B10" s="9"/>
      <c r="C10" s="6"/>
      <c r="D10" s="118"/>
      <c r="E10" s="119"/>
      <c r="F10" s="119"/>
      <c r="G10" s="120"/>
      <c r="H10" s="6"/>
      <c r="I10" s="8"/>
      <c r="J10" s="9"/>
      <c r="K10" s="8"/>
      <c r="L10" s="144" t="s">
        <v>20</v>
      </c>
      <c r="M10" s="145">
        <f>+(1-C5)-J9*(1-I13)</f>
        <v>5.8854837670097027E-9</v>
      </c>
      <c r="N10" s="6"/>
      <c r="O10" s="47"/>
      <c r="P10" s="48" t="s">
        <v>26</v>
      </c>
      <c r="Q10" s="49" t="s">
        <v>25</v>
      </c>
    </row>
    <row r="11" spans="1:18" ht="21.75" thickTop="1" thickBot="1" x14ac:dyDescent="0.7">
      <c r="A11" s="9"/>
      <c r="B11" s="9"/>
      <c r="C11" s="6"/>
      <c r="D11" s="6"/>
      <c r="E11" s="38"/>
      <c r="F11" s="39"/>
      <c r="G11" s="6"/>
      <c r="H11" s="6"/>
      <c r="I11" s="8"/>
      <c r="J11" s="9"/>
      <c r="K11" s="8"/>
      <c r="L11" s="144" t="s">
        <v>42</v>
      </c>
      <c r="M11" s="145">
        <f>C4-G4*I12</f>
        <v>0</v>
      </c>
      <c r="N11" s="6"/>
      <c r="O11" s="50" t="s">
        <v>89</v>
      </c>
      <c r="P11" s="51">
        <v>0</v>
      </c>
      <c r="Q11" s="64">
        <f>-(I12/C4)*P11+(C12/C4)*C13</f>
        <v>0.70100091555341038</v>
      </c>
    </row>
    <row r="12" spans="1:18" ht="24.75" thickTop="1" thickBot="1" x14ac:dyDescent="0.9">
      <c r="B12" s="136" t="s">
        <v>30</v>
      </c>
      <c r="C12" s="137">
        <v>66.666666666666671</v>
      </c>
      <c r="D12" s="6"/>
      <c r="E12" s="15"/>
      <c r="F12" s="31"/>
      <c r="G12" s="6"/>
      <c r="H12" s="136" t="s">
        <v>35</v>
      </c>
      <c r="I12" s="137">
        <v>22.222222222222225</v>
      </c>
      <c r="K12" s="8"/>
      <c r="L12" s="102" t="s">
        <v>43</v>
      </c>
      <c r="M12" s="146">
        <f>C12-G5*I20</f>
        <v>0</v>
      </c>
      <c r="N12" s="6"/>
      <c r="O12" s="52"/>
      <c r="P12" s="51">
        <v>1</v>
      </c>
      <c r="Q12" s="64">
        <f>-(I12/C4)*P12+(C12/C4)*C13</f>
        <v>0.20100091555341026</v>
      </c>
    </row>
    <row r="13" spans="1:18" ht="24.75" thickTop="1" thickBot="1" x14ac:dyDescent="0.9">
      <c r="B13" s="138" t="s">
        <v>31</v>
      </c>
      <c r="C13" s="139">
        <v>0.46733394370227349</v>
      </c>
      <c r="D13" s="6"/>
      <c r="E13" s="15"/>
      <c r="F13" s="7"/>
      <c r="G13" s="23"/>
      <c r="H13" s="138" t="s">
        <v>40</v>
      </c>
      <c r="I13" s="139">
        <v>0.3236194649338151</v>
      </c>
      <c r="K13" s="8"/>
      <c r="L13" s="9"/>
      <c r="M13" s="9"/>
      <c r="N13" s="6"/>
      <c r="O13" s="50" t="s">
        <v>90</v>
      </c>
      <c r="P13" s="51">
        <v>0</v>
      </c>
      <c r="Q13" s="64">
        <f>-(I20/C12)*P13+(B16/C12)*B17</f>
        <v>0.60000000000000009</v>
      </c>
    </row>
    <row r="14" spans="1:18" ht="21.75" thickTop="1" thickBot="1" x14ac:dyDescent="0.7">
      <c r="A14" s="9"/>
      <c r="B14" s="9"/>
      <c r="C14" s="6"/>
      <c r="D14" s="6"/>
      <c r="E14" s="16"/>
      <c r="F14" s="7"/>
      <c r="G14" s="7"/>
      <c r="H14" s="7"/>
      <c r="I14" s="8"/>
      <c r="J14" s="9"/>
      <c r="K14" s="8"/>
      <c r="L14" s="151" t="s">
        <v>133</v>
      </c>
      <c r="M14" s="42"/>
      <c r="N14" s="6"/>
      <c r="O14" s="53"/>
      <c r="P14" s="63">
        <v>1</v>
      </c>
      <c r="Q14" s="65">
        <f>-(I20/C12)*P14+(B16/C12)*B17</f>
        <v>0.10000000000000009</v>
      </c>
    </row>
    <row r="15" spans="1:18" ht="21.75" thickTop="1" thickBot="1" x14ac:dyDescent="0.7">
      <c r="A15" s="9"/>
      <c r="B15" s="9"/>
      <c r="C15" s="6"/>
      <c r="D15" s="113"/>
      <c r="E15" s="114"/>
      <c r="F15" s="114"/>
      <c r="G15" s="115"/>
      <c r="H15" s="6"/>
      <c r="I15" s="8"/>
      <c r="J15" s="9"/>
      <c r="K15" s="8"/>
      <c r="L15" s="152" t="s">
        <v>134</v>
      </c>
      <c r="M15" s="37"/>
      <c r="N15" s="6"/>
    </row>
    <row r="16" spans="1:18" ht="24.75" thickTop="1" thickBot="1" x14ac:dyDescent="0.9">
      <c r="A16" s="131" t="s">
        <v>0</v>
      </c>
      <c r="B16" s="132">
        <v>100</v>
      </c>
      <c r="C16" s="6"/>
      <c r="D16" s="116"/>
      <c r="E16" s="124" t="s">
        <v>14</v>
      </c>
      <c r="F16" s="124"/>
      <c r="G16" s="117"/>
      <c r="H16" s="6"/>
      <c r="I16" s="103" t="s">
        <v>38</v>
      </c>
      <c r="J16" s="105">
        <f>10^($P$18-$Q$18/($R$18+F17))/G3</f>
        <v>1.7613169364644863</v>
      </c>
      <c r="L16" s="153" t="s">
        <v>135</v>
      </c>
      <c r="N16" s="6"/>
      <c r="O16" s="125" t="s">
        <v>3</v>
      </c>
      <c r="P16" s="126"/>
      <c r="Q16" s="126"/>
      <c r="R16" s="127"/>
    </row>
    <row r="17" spans="1:18" ht="24.75" thickTop="1" thickBot="1" x14ac:dyDescent="0.9">
      <c r="A17" s="133" t="s">
        <v>54</v>
      </c>
      <c r="B17" s="134">
        <v>0.4</v>
      </c>
      <c r="C17" s="10"/>
      <c r="D17" s="116"/>
      <c r="E17" s="140" t="s">
        <v>88</v>
      </c>
      <c r="F17" s="141">
        <v>99.684220549079086</v>
      </c>
      <c r="G17" s="117"/>
      <c r="H17" s="6"/>
      <c r="I17" s="104" t="s">
        <v>39</v>
      </c>
      <c r="J17" s="106">
        <f>10^($P$19-$Q$19/($R$19+F17))/G3</f>
        <v>0.72504333649254971</v>
      </c>
      <c r="L17" s="154" t="s">
        <v>136</v>
      </c>
      <c r="N17" s="6"/>
      <c r="O17" s="52"/>
      <c r="P17" s="48" t="s">
        <v>4</v>
      </c>
      <c r="Q17" s="48" t="s">
        <v>5</v>
      </c>
      <c r="R17" s="49" t="s">
        <v>6</v>
      </c>
    </row>
    <row r="18" spans="1:18" ht="21.75" thickTop="1" thickBot="1" x14ac:dyDescent="0.7">
      <c r="A18" s="9"/>
      <c r="B18" s="9"/>
      <c r="C18" s="6"/>
      <c r="D18" s="118"/>
      <c r="E18" s="119"/>
      <c r="F18" s="119"/>
      <c r="G18" s="120"/>
      <c r="H18" s="6"/>
      <c r="I18" s="8"/>
      <c r="J18" s="9"/>
      <c r="K18" s="8"/>
      <c r="N18" s="6"/>
      <c r="O18" s="52" t="s">
        <v>7</v>
      </c>
      <c r="P18" s="48">
        <v>6.8927199999999997</v>
      </c>
      <c r="Q18" s="48">
        <v>1203.5309999999999</v>
      </c>
      <c r="R18" s="49">
        <v>219.88800000000001</v>
      </c>
    </row>
    <row r="19" spans="1:18" ht="21.75" thickTop="1" thickBot="1" x14ac:dyDescent="0.7">
      <c r="A19" s="9"/>
      <c r="B19" s="9"/>
      <c r="C19" s="6"/>
      <c r="D19" s="6"/>
      <c r="E19" s="6"/>
      <c r="F19" s="6"/>
      <c r="G19" s="14"/>
      <c r="H19" s="7"/>
      <c r="I19" s="8"/>
      <c r="J19" s="9"/>
      <c r="K19" s="8"/>
      <c r="L19" s="56" t="s">
        <v>91</v>
      </c>
      <c r="M19" s="58"/>
      <c r="N19" s="6"/>
      <c r="O19" s="59" t="s">
        <v>8</v>
      </c>
      <c r="P19" s="54">
        <v>6.9580500000000001</v>
      </c>
      <c r="Q19" s="54">
        <v>1346.7729999999999</v>
      </c>
      <c r="R19" s="55">
        <v>219.69300000000001</v>
      </c>
    </row>
    <row r="20" spans="1:18" ht="24.75" thickTop="1" thickBot="1" x14ac:dyDescent="0.9">
      <c r="A20" s="9"/>
      <c r="B20" s="9"/>
      <c r="C20" s="6"/>
      <c r="D20" s="6"/>
      <c r="E20" s="6"/>
      <c r="F20" s="6"/>
      <c r="G20" s="14"/>
      <c r="H20" s="136" t="s">
        <v>41</v>
      </c>
      <c r="I20" s="137">
        <v>33.333333333333336</v>
      </c>
      <c r="K20" s="8"/>
      <c r="L20" s="52" t="s">
        <v>92</v>
      </c>
      <c r="M20" s="61"/>
      <c r="N20" s="6"/>
      <c r="O20" s="6"/>
      <c r="P20" s="18"/>
      <c r="Q20" s="2"/>
    </row>
    <row r="21" spans="1:18" ht="26.25" thickTop="1" thickBot="1" x14ac:dyDescent="0.9">
      <c r="A21" s="9"/>
      <c r="B21" s="9"/>
      <c r="C21" s="6"/>
      <c r="D21" s="6"/>
      <c r="E21" s="6"/>
      <c r="F21" s="6"/>
      <c r="G21" s="23"/>
      <c r="H21" s="138" t="s">
        <v>36</v>
      </c>
      <c r="I21" s="139">
        <v>0.26533211259545292</v>
      </c>
      <c r="K21" s="8"/>
      <c r="L21" s="59" t="s">
        <v>93</v>
      </c>
      <c r="M21" s="62"/>
      <c r="N21" s="37"/>
      <c r="O21" s="6"/>
      <c r="P21" s="18"/>
      <c r="Q21" s="2"/>
    </row>
    <row r="22" spans="1:18" ht="21.4" thickTop="1" x14ac:dyDescent="0.65">
      <c r="A22" s="9"/>
      <c r="B22" s="9"/>
      <c r="C22" s="6"/>
      <c r="D22" s="6"/>
      <c r="E22" s="6"/>
      <c r="F22" s="6"/>
      <c r="G22" s="7"/>
      <c r="H22" s="7"/>
      <c r="I22" s="8"/>
      <c r="J22" s="9"/>
      <c r="K22" s="8"/>
      <c r="L22" s="4"/>
      <c r="M22" s="17"/>
      <c r="N22" s="37"/>
      <c r="P22" s="6"/>
    </row>
    <row r="23" spans="1:18" ht="21" x14ac:dyDescent="0.65">
      <c r="A23" s="6" t="s">
        <v>123</v>
      </c>
      <c r="B23" s="9"/>
      <c r="C23" s="6"/>
      <c r="D23" s="6"/>
      <c r="E23" s="6"/>
      <c r="F23" s="6"/>
      <c r="G23" s="6"/>
      <c r="H23" s="6"/>
      <c r="I23" s="8"/>
      <c r="J23" s="9"/>
      <c r="K23" s="8"/>
      <c r="L23" s="17"/>
      <c r="M23" s="17"/>
      <c r="N23" s="3"/>
    </row>
    <row r="24" spans="1:18" ht="21" x14ac:dyDescent="0.65">
      <c r="A24" s="6" t="s">
        <v>124</v>
      </c>
      <c r="B24" s="9"/>
      <c r="C24" s="6"/>
      <c r="D24" s="6"/>
      <c r="E24" s="6"/>
      <c r="F24" s="6"/>
      <c r="G24" s="6"/>
      <c r="H24" s="6"/>
      <c r="I24" s="8"/>
      <c r="J24" s="9"/>
      <c r="K24" s="8"/>
      <c r="L24" s="20"/>
      <c r="M24" s="20"/>
      <c r="N24" s="41"/>
    </row>
    <row r="25" spans="1:18" ht="21" x14ac:dyDescent="0.65">
      <c r="A25" s="20" t="s">
        <v>119</v>
      </c>
      <c r="B25" s="9"/>
      <c r="C25" s="6"/>
      <c r="D25" s="6"/>
      <c r="E25" s="6"/>
      <c r="F25" s="6"/>
      <c r="G25" s="6"/>
      <c r="H25" s="6"/>
      <c r="I25" s="8"/>
      <c r="J25" s="9"/>
      <c r="K25" s="8"/>
      <c r="L25" s="9"/>
      <c r="M25" s="9"/>
    </row>
    <row r="26" spans="1:18" x14ac:dyDescent="0.45">
      <c r="A26"/>
    </row>
    <row r="27" spans="1:18" ht="21" x14ac:dyDescent="0.65">
      <c r="A27" s="20" t="s">
        <v>117</v>
      </c>
    </row>
    <row r="28" spans="1:18" ht="21" x14ac:dyDescent="0.65">
      <c r="A28" s="20" t="s">
        <v>118</v>
      </c>
    </row>
  </sheetData>
  <mergeCells count="6">
    <mergeCell ref="E16:F16"/>
    <mergeCell ref="O16:R16"/>
    <mergeCell ref="L2:M2"/>
    <mergeCell ref="O2:Q2"/>
    <mergeCell ref="O9:Q9"/>
    <mergeCell ref="E8:F8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showGridLines="0" zoomScale="80" zoomScaleNormal="80" workbookViewId="0">
      <selection activeCell="L18" sqref="L18:L21"/>
    </sheetView>
  </sheetViews>
  <sheetFormatPr defaultRowHeight="14.25" x14ac:dyDescent="0.45"/>
  <cols>
    <col min="1" max="1" width="12" style="1" customWidth="1"/>
    <col min="2" max="2" width="9.1328125" style="1"/>
    <col min="9" max="9" width="9.1328125" style="5"/>
    <col min="10" max="10" width="9.1328125" style="1"/>
    <col min="11" max="11" width="9.1328125" style="5"/>
    <col min="12" max="12" width="15.6640625" style="1" customWidth="1"/>
    <col min="13" max="13" width="25.6640625" customWidth="1"/>
    <col min="14" max="14" width="4.3984375" customWidth="1"/>
    <col min="15" max="18" width="15.6640625" customWidth="1"/>
    <col min="19" max="21" width="10.59765625" customWidth="1"/>
  </cols>
  <sheetData>
    <row r="1" spans="1:21" ht="25.9" thickBot="1" x14ac:dyDescent="0.8">
      <c r="A1" s="110" t="s">
        <v>122</v>
      </c>
      <c r="G1" s="3"/>
      <c r="H1" s="42"/>
      <c r="I1" s="42"/>
    </row>
    <row r="2" spans="1:21" ht="21.75" thickTop="1" thickBot="1" x14ac:dyDescent="0.7">
      <c r="B2" s="9"/>
      <c r="C2" s="6"/>
      <c r="D2" s="6"/>
      <c r="E2" s="6"/>
      <c r="F2" s="6"/>
      <c r="G2" s="3"/>
      <c r="H2" s="37"/>
      <c r="I2" s="37"/>
      <c r="J2" s="9" t="s">
        <v>120</v>
      </c>
      <c r="K2" s="8"/>
      <c r="L2" s="142" t="s">
        <v>100</v>
      </c>
      <c r="M2" s="143"/>
      <c r="O2" s="6" t="s">
        <v>138</v>
      </c>
      <c r="S2" s="125" t="s">
        <v>45</v>
      </c>
      <c r="T2" s="126"/>
      <c r="U2" s="127"/>
    </row>
    <row r="3" spans="1:21" ht="24.75" thickTop="1" thickBot="1" x14ac:dyDescent="0.9">
      <c r="A3" s="9"/>
      <c r="B3" s="9"/>
      <c r="C3" s="6"/>
      <c r="D3" s="6"/>
      <c r="E3" s="15"/>
      <c r="F3" s="131" t="s">
        <v>130</v>
      </c>
      <c r="G3" s="147">
        <v>760</v>
      </c>
      <c r="H3" s="37"/>
      <c r="I3" s="109"/>
      <c r="L3" s="144" t="s">
        <v>17</v>
      </c>
      <c r="M3" s="145">
        <f>+B16+I12-C12-I20</f>
        <v>0</v>
      </c>
      <c r="O3" s="6" t="s">
        <v>139</v>
      </c>
      <c r="S3" s="47"/>
      <c r="T3" s="48" t="s">
        <v>26</v>
      </c>
      <c r="U3" s="49" t="s">
        <v>25</v>
      </c>
    </row>
    <row r="4" spans="1:21" ht="24.75" thickTop="1" thickBot="1" x14ac:dyDescent="0.9">
      <c r="B4" s="136" t="s">
        <v>32</v>
      </c>
      <c r="C4" s="137">
        <v>66.666666666666586</v>
      </c>
      <c r="D4" s="6"/>
      <c r="E4" s="15"/>
      <c r="F4" s="148" t="s">
        <v>137</v>
      </c>
      <c r="G4" s="149">
        <v>2</v>
      </c>
      <c r="H4" s="37"/>
      <c r="I4" s="109"/>
      <c r="L4" s="144" t="s">
        <v>18</v>
      </c>
      <c r="M4" s="145">
        <f>+B16*B17+I12*I13-C12*C13-I20*I21</f>
        <v>-4.9644995012698701E-6</v>
      </c>
      <c r="O4" s="6" t="s">
        <v>140</v>
      </c>
      <c r="S4" s="50" t="s">
        <v>89</v>
      </c>
      <c r="T4" s="51">
        <v>0</v>
      </c>
      <c r="U4" s="64">
        <f>+F9</f>
        <v>98.916839942268908</v>
      </c>
    </row>
    <row r="5" spans="1:21" ht="24.75" thickTop="1" thickBot="1" x14ac:dyDescent="0.9">
      <c r="B5" s="138" t="s">
        <v>33</v>
      </c>
      <c r="C5" s="139">
        <v>0.49494981814113032</v>
      </c>
      <c r="D5" s="6"/>
      <c r="E5" s="15"/>
      <c r="F5" s="156"/>
      <c r="G5" s="157"/>
      <c r="H5" s="37"/>
      <c r="I5" s="109"/>
      <c r="L5" s="144" t="s">
        <v>15</v>
      </c>
      <c r="M5" s="145">
        <f>+C12-I12-C4</f>
        <v>1.1368683772161603E-13</v>
      </c>
      <c r="O5" s="6" t="s">
        <v>141</v>
      </c>
      <c r="S5" s="50"/>
      <c r="T5" s="51">
        <v>1</v>
      </c>
      <c r="U5" s="64">
        <f>+F9</f>
        <v>98.916839942268908</v>
      </c>
    </row>
    <row r="6" spans="1:21" ht="24.75" thickTop="1" thickBot="1" x14ac:dyDescent="0.9">
      <c r="A6" s="9"/>
      <c r="B6" s="9"/>
      <c r="C6" s="6"/>
      <c r="D6" s="6"/>
      <c r="E6" s="16"/>
      <c r="F6" s="13"/>
      <c r="G6" s="13"/>
      <c r="H6" s="6"/>
      <c r="L6" s="144" t="s">
        <v>16</v>
      </c>
      <c r="M6" s="145">
        <f>+C12*C13-C4*C5-I12*I13</f>
        <v>5.8619775700208265E-13</v>
      </c>
      <c r="O6" s="6" t="s">
        <v>142</v>
      </c>
      <c r="S6" s="50" t="s">
        <v>90</v>
      </c>
      <c r="T6" s="51">
        <v>0</v>
      </c>
      <c r="U6" s="64">
        <f>+F17</f>
        <v>101.72094133671851</v>
      </c>
    </row>
    <row r="7" spans="1:21" ht="24.75" thickTop="1" thickBot="1" x14ac:dyDescent="0.9">
      <c r="A7" s="9"/>
      <c r="B7" s="9"/>
      <c r="C7" s="6"/>
      <c r="D7" s="113"/>
      <c r="E7" s="114"/>
      <c r="F7" s="114"/>
      <c r="G7" s="115"/>
      <c r="H7" s="6"/>
      <c r="I7" s="8"/>
      <c r="J7" s="9"/>
      <c r="K7" s="8"/>
      <c r="L7" s="144" t="s">
        <v>21</v>
      </c>
      <c r="M7" s="145">
        <f>+C13-J16*I21</f>
        <v>-5.3023192836398891E-8</v>
      </c>
      <c r="N7" s="6"/>
      <c r="O7" s="6" t="s">
        <v>143</v>
      </c>
      <c r="S7" s="53"/>
      <c r="T7" s="63">
        <v>1</v>
      </c>
      <c r="U7" s="65">
        <f>+F17</f>
        <v>101.72094133671851</v>
      </c>
    </row>
    <row r="8" spans="1:21" ht="24.75" thickTop="1" thickBot="1" x14ac:dyDescent="0.9">
      <c r="A8" s="135" t="s">
        <v>24</v>
      </c>
      <c r="B8" s="155">
        <v>1</v>
      </c>
      <c r="C8" s="6"/>
      <c r="D8" s="116"/>
      <c r="E8" s="124" t="s">
        <v>13</v>
      </c>
      <c r="F8" s="124"/>
      <c r="G8" s="117"/>
      <c r="H8" s="6"/>
      <c r="I8" s="103" t="s">
        <v>144</v>
      </c>
      <c r="J8" s="105">
        <f>10^($P$18-$Q$18/($R$18+F9))/G3</f>
        <v>1.7249335858328696</v>
      </c>
      <c r="L8" s="144" t="s">
        <v>22</v>
      </c>
      <c r="M8" s="145">
        <f>+(1-C13)-J17*(1-I21)</f>
        <v>3.6777861756043251E-8</v>
      </c>
      <c r="N8" s="6"/>
      <c r="O8" s="6" t="s">
        <v>148</v>
      </c>
    </row>
    <row r="9" spans="1:21" ht="24.75" thickTop="1" thickBot="1" x14ac:dyDescent="0.9">
      <c r="A9" s="9"/>
      <c r="B9" s="12"/>
      <c r="C9" s="11"/>
      <c r="D9" s="116"/>
      <c r="E9" s="140" t="s">
        <v>37</v>
      </c>
      <c r="F9" s="158">
        <v>98.916839942268908</v>
      </c>
      <c r="G9" s="117"/>
      <c r="H9" s="6"/>
      <c r="I9" s="104" t="s">
        <v>145</v>
      </c>
      <c r="J9" s="106">
        <f>10^($P$19-$Q$19/($R$19+F9))/G3</f>
        <v>0.70828413111494593</v>
      </c>
      <c r="L9" s="144" t="s">
        <v>19</v>
      </c>
      <c r="M9" s="145">
        <f>+C5-J8*I13</f>
        <v>-8.2503758158658513E-8</v>
      </c>
      <c r="N9" s="6"/>
      <c r="O9" s="6" t="s">
        <v>149</v>
      </c>
      <c r="S9" s="125" t="s">
        <v>44</v>
      </c>
      <c r="T9" s="126"/>
      <c r="U9" s="127"/>
    </row>
    <row r="10" spans="1:21" ht="24.75" thickTop="1" thickBot="1" x14ac:dyDescent="0.9">
      <c r="A10" s="9"/>
      <c r="B10" s="9"/>
      <c r="C10" s="6"/>
      <c r="D10" s="118"/>
      <c r="E10" s="119"/>
      <c r="F10" s="119"/>
      <c r="G10" s="120"/>
      <c r="H10" s="6"/>
      <c r="I10" s="8"/>
      <c r="J10" s="9"/>
      <c r="K10" s="8"/>
      <c r="L10" s="144" t="s">
        <v>20</v>
      </c>
      <c r="M10" s="145">
        <f>+(1-C5)-J9*(1-I13)</f>
        <v>5.5347310512487979E-8</v>
      </c>
      <c r="N10" s="6"/>
      <c r="O10" s="6" t="s">
        <v>150</v>
      </c>
      <c r="S10" s="47"/>
      <c r="T10" s="48" t="s">
        <v>26</v>
      </c>
      <c r="U10" s="49" t="s">
        <v>25</v>
      </c>
    </row>
    <row r="11" spans="1:21" ht="24.75" thickTop="1" thickBot="1" x14ac:dyDescent="0.9">
      <c r="A11" s="9"/>
      <c r="B11" s="9"/>
      <c r="C11" s="6"/>
      <c r="D11" s="6"/>
      <c r="E11" s="38"/>
      <c r="F11" s="39"/>
      <c r="G11" s="6"/>
      <c r="H11" s="6"/>
      <c r="I11" s="8"/>
      <c r="J11" s="9"/>
      <c r="K11" s="8"/>
      <c r="L11" s="144" t="s">
        <v>23</v>
      </c>
      <c r="M11" s="145">
        <f>+I12/C4-B8</f>
        <v>-3.0397906414236786E-13</v>
      </c>
      <c r="N11" s="6"/>
      <c r="O11" s="6" t="s">
        <v>151</v>
      </c>
      <c r="S11" s="50" t="s">
        <v>89</v>
      </c>
      <c r="T11" s="51">
        <v>0</v>
      </c>
      <c r="U11" s="64">
        <f>-(I12/C4)*T11+(C12/C4)*C13</f>
        <v>0.78188834418633502</v>
      </c>
    </row>
    <row r="12" spans="1:21" ht="24.75" thickTop="1" thickBot="1" x14ac:dyDescent="0.9">
      <c r="B12" s="136" t="s">
        <v>30</v>
      </c>
      <c r="C12" s="137">
        <v>133.33333333331302</v>
      </c>
      <c r="D12" s="6"/>
      <c r="E12" s="15"/>
      <c r="F12" s="31"/>
      <c r="G12" s="6"/>
      <c r="H12" s="136" t="s">
        <v>35</v>
      </c>
      <c r="I12" s="137">
        <v>66.666666666646321</v>
      </c>
      <c r="K12" s="8"/>
      <c r="L12" s="102" t="s">
        <v>29</v>
      </c>
      <c r="M12" s="146">
        <f>C4-2*I20</f>
        <v>0</v>
      </c>
      <c r="N12" s="6"/>
      <c r="O12" s="6" t="s">
        <v>152</v>
      </c>
      <c r="S12" s="50"/>
      <c r="T12" s="51">
        <v>1</v>
      </c>
      <c r="U12" s="64">
        <f>-(I12/C4)*T12+(C12/C4)*C13</f>
        <v>-0.21811165581336101</v>
      </c>
    </row>
    <row r="13" spans="1:21" ht="24.75" thickTop="1" thickBot="1" x14ac:dyDescent="0.9">
      <c r="B13" s="138" t="s">
        <v>31</v>
      </c>
      <c r="C13" s="139">
        <v>0.39094417209322657</v>
      </c>
      <c r="D13" s="6"/>
      <c r="E13" s="15"/>
      <c r="F13" s="7"/>
      <c r="G13" s="14"/>
      <c r="H13" s="138" t="s">
        <v>40</v>
      </c>
      <c r="I13" s="139">
        <v>0.28693852604528314</v>
      </c>
      <c r="K13" s="8"/>
      <c r="L13" s="9"/>
      <c r="M13" s="6"/>
      <c r="N13" s="6"/>
      <c r="S13" s="50" t="s">
        <v>90</v>
      </c>
      <c r="T13" s="51">
        <v>0</v>
      </c>
      <c r="U13" s="64">
        <f>-(I20/C12)*T13+(B16/C12)*B17+(I12/C12)*I13</f>
        <v>0.44346926302266537</v>
      </c>
    </row>
    <row r="14" spans="1:21" ht="21.75" thickTop="1" thickBot="1" x14ac:dyDescent="0.7">
      <c r="A14" s="9"/>
      <c r="B14" s="9"/>
      <c r="C14" s="6"/>
      <c r="D14" s="6"/>
      <c r="E14" s="16"/>
      <c r="F14" s="7"/>
      <c r="G14" s="14"/>
      <c r="H14" s="7"/>
      <c r="I14" s="8"/>
      <c r="J14" s="9"/>
      <c r="K14" s="8"/>
      <c r="L14" s="56" t="s">
        <v>125</v>
      </c>
      <c r="M14" s="58"/>
      <c r="N14" s="6"/>
      <c r="S14" s="53"/>
      <c r="T14" s="63">
        <v>1</v>
      </c>
      <c r="U14" s="65">
        <f>-(I20/C12)*T14+(B16/C12)*B17+(I12/C12)*I13</f>
        <v>0.19346926302262757</v>
      </c>
    </row>
    <row r="15" spans="1:21" ht="21.75" thickTop="1" thickBot="1" x14ac:dyDescent="0.7">
      <c r="A15" s="9"/>
      <c r="B15" s="9"/>
      <c r="C15" s="6"/>
      <c r="D15" s="113"/>
      <c r="E15" s="114"/>
      <c r="F15" s="114"/>
      <c r="G15" s="115"/>
      <c r="H15" s="6"/>
      <c r="I15" s="8"/>
      <c r="J15" s="9"/>
      <c r="K15" s="8"/>
      <c r="L15" s="52" t="s">
        <v>92</v>
      </c>
      <c r="M15" s="61"/>
      <c r="N15" s="6"/>
      <c r="O15" s="6"/>
      <c r="P15" s="6"/>
    </row>
    <row r="16" spans="1:21" ht="26.25" thickTop="1" thickBot="1" x14ac:dyDescent="0.9">
      <c r="A16" s="131" t="s">
        <v>0</v>
      </c>
      <c r="B16" s="132">
        <v>100</v>
      </c>
      <c r="C16" s="6"/>
      <c r="D16" s="116"/>
      <c r="E16" s="124" t="s">
        <v>14</v>
      </c>
      <c r="F16" s="124"/>
      <c r="G16" s="117"/>
      <c r="H16" s="6"/>
      <c r="I16" s="103" t="s">
        <v>146</v>
      </c>
      <c r="J16" s="105">
        <f>10^($P$18-$Q$18/($R$18+F17))/G3</f>
        <v>1.8607485540153899</v>
      </c>
      <c r="L16" s="59" t="s">
        <v>93</v>
      </c>
      <c r="M16" s="62"/>
      <c r="N16" s="6"/>
      <c r="O16" s="56" t="s">
        <v>3</v>
      </c>
      <c r="P16" s="57"/>
      <c r="Q16" s="57"/>
      <c r="R16" s="58"/>
    </row>
    <row r="17" spans="1:18" ht="24.75" thickTop="1" thickBot="1" x14ac:dyDescent="0.9">
      <c r="A17" s="133" t="s">
        <v>11</v>
      </c>
      <c r="B17" s="134">
        <v>0.4</v>
      </c>
      <c r="C17" s="10"/>
      <c r="D17" s="116"/>
      <c r="E17" s="140" t="s">
        <v>34</v>
      </c>
      <c r="F17" s="159">
        <v>101.72094133671851</v>
      </c>
      <c r="G17" s="117"/>
      <c r="H17" s="6"/>
      <c r="I17" s="104" t="s">
        <v>147</v>
      </c>
      <c r="J17" s="106">
        <f>10^($P$19-$Q$19/($R$19+F17))/G3</f>
        <v>0.77105479986358183</v>
      </c>
      <c r="M17" s="6"/>
      <c r="N17" s="6"/>
      <c r="O17" s="52"/>
      <c r="P17" s="48" t="s">
        <v>4</v>
      </c>
      <c r="Q17" s="48" t="s">
        <v>5</v>
      </c>
      <c r="R17" s="49" t="s">
        <v>6</v>
      </c>
    </row>
    <row r="18" spans="1:18" ht="21.75" thickTop="1" thickBot="1" x14ac:dyDescent="0.7">
      <c r="A18" s="9"/>
      <c r="B18" s="9"/>
      <c r="C18" s="6"/>
      <c r="D18" s="118"/>
      <c r="E18" s="119"/>
      <c r="F18" s="119"/>
      <c r="G18" s="120"/>
      <c r="H18" s="6"/>
      <c r="I18" s="8"/>
      <c r="J18" s="9"/>
      <c r="K18" s="8"/>
      <c r="L18" s="151" t="s">
        <v>133</v>
      </c>
      <c r="M18" s="37"/>
      <c r="N18" s="6"/>
      <c r="O18" s="52" t="s">
        <v>7</v>
      </c>
      <c r="P18" s="48">
        <v>6.8927199999999997</v>
      </c>
      <c r="Q18" s="48">
        <v>1203.5309999999999</v>
      </c>
      <c r="R18" s="49">
        <v>219.88800000000001</v>
      </c>
    </row>
    <row r="19" spans="1:18" ht="21.75" thickTop="1" thickBot="1" x14ac:dyDescent="0.7">
      <c r="A19" s="9"/>
      <c r="B19" s="9"/>
      <c r="C19" s="6"/>
      <c r="D19" s="6"/>
      <c r="E19" s="6"/>
      <c r="F19" s="6"/>
      <c r="G19" s="14"/>
      <c r="H19" s="7"/>
      <c r="I19" s="8"/>
      <c r="J19" s="9"/>
      <c r="K19" s="8"/>
      <c r="L19" s="152" t="s">
        <v>134</v>
      </c>
      <c r="M19" s="37"/>
      <c r="N19" s="6"/>
      <c r="O19" s="59" t="s">
        <v>8</v>
      </c>
      <c r="P19" s="54">
        <v>6.9580500000000001</v>
      </c>
      <c r="Q19" s="54">
        <v>1346.7729999999999</v>
      </c>
      <c r="R19" s="55">
        <v>219.69300000000001</v>
      </c>
    </row>
    <row r="20" spans="1:18" ht="24.75" thickTop="1" thickBot="1" x14ac:dyDescent="0.9">
      <c r="A20" s="9"/>
      <c r="B20" s="9"/>
      <c r="C20" s="6"/>
      <c r="D20" s="6"/>
      <c r="E20" s="6"/>
      <c r="F20" s="6"/>
      <c r="G20" s="14"/>
      <c r="H20" s="136" t="s">
        <v>41</v>
      </c>
      <c r="I20" s="137">
        <v>33.333333333333293</v>
      </c>
      <c r="K20" s="8"/>
      <c r="L20" s="153" t="s">
        <v>135</v>
      </c>
      <c r="M20" s="6"/>
      <c r="N20" s="6"/>
      <c r="O20" s="6"/>
      <c r="P20" s="6"/>
    </row>
    <row r="21" spans="1:18" ht="24.75" thickTop="1" thickBot="1" x14ac:dyDescent="0.9">
      <c r="A21" s="9"/>
      <c r="B21" s="9"/>
      <c r="C21" s="6"/>
      <c r="D21" s="6"/>
      <c r="E21" s="6"/>
      <c r="F21" s="6"/>
      <c r="G21" s="23"/>
      <c r="H21" s="138" t="s">
        <v>36</v>
      </c>
      <c r="I21" s="139">
        <v>0.21010051265270846</v>
      </c>
      <c r="K21" s="8"/>
      <c r="L21" s="154" t="s">
        <v>136</v>
      </c>
      <c r="M21" s="37"/>
      <c r="N21" s="37"/>
    </row>
    <row r="22" spans="1:18" ht="21.4" thickTop="1" x14ac:dyDescent="0.65">
      <c r="A22" s="9"/>
      <c r="B22" s="9"/>
      <c r="C22" s="6"/>
      <c r="D22" s="6"/>
      <c r="E22" s="6"/>
      <c r="F22" s="6"/>
      <c r="G22" s="7"/>
      <c r="H22" s="7"/>
      <c r="I22" s="8"/>
      <c r="J22" s="9"/>
      <c r="K22" s="8"/>
      <c r="L22" s="17"/>
      <c r="M22" s="37"/>
      <c r="N22" s="37"/>
    </row>
    <row r="23" spans="1:18" ht="21" x14ac:dyDescent="0.65">
      <c r="A23" s="6" t="s">
        <v>126</v>
      </c>
      <c r="B23" s="9"/>
      <c r="C23" s="6"/>
      <c r="D23" s="6"/>
      <c r="E23" s="6"/>
      <c r="F23" s="6"/>
      <c r="G23" s="6"/>
      <c r="H23" s="6"/>
      <c r="I23" s="8"/>
      <c r="J23" s="9"/>
      <c r="K23" s="8"/>
      <c r="L23" s="17"/>
      <c r="M23" s="3"/>
      <c r="N23" s="3"/>
      <c r="Q23" s="6"/>
    </row>
    <row r="24" spans="1:18" ht="24" x14ac:dyDescent="0.85">
      <c r="A24" s="6" t="s">
        <v>127</v>
      </c>
      <c r="B24" s="9"/>
      <c r="C24" s="6"/>
      <c r="D24" s="6"/>
      <c r="E24" s="6"/>
      <c r="F24" s="6"/>
      <c r="G24" s="6"/>
      <c r="H24" s="6"/>
      <c r="I24" s="8"/>
      <c r="J24" s="9"/>
      <c r="K24" s="8"/>
      <c r="L24" s="20"/>
      <c r="M24" s="41"/>
      <c r="N24" s="41"/>
      <c r="P24" s="108"/>
      <c r="Q24" s="37"/>
    </row>
    <row r="25" spans="1:18" ht="21" x14ac:dyDescent="0.65">
      <c r="A25" s="20" t="s">
        <v>119</v>
      </c>
      <c r="B25" s="9"/>
      <c r="C25" s="6"/>
      <c r="D25" s="6"/>
      <c r="E25" s="6"/>
      <c r="F25" s="6"/>
      <c r="G25" s="6"/>
      <c r="H25" s="6"/>
      <c r="I25" s="8"/>
      <c r="J25" s="9"/>
      <c r="K25" s="8"/>
      <c r="L25" s="9"/>
      <c r="P25" s="108"/>
      <c r="Q25" s="37"/>
    </row>
    <row r="26" spans="1:18" x14ac:dyDescent="0.45">
      <c r="A26"/>
      <c r="P26" s="108"/>
      <c r="Q26" s="3"/>
    </row>
    <row r="27" spans="1:18" ht="21" x14ac:dyDescent="0.65">
      <c r="A27" s="20" t="s">
        <v>117</v>
      </c>
    </row>
    <row r="28" spans="1:18" ht="21" x14ac:dyDescent="0.65">
      <c r="A28" s="20" t="s">
        <v>118</v>
      </c>
    </row>
  </sheetData>
  <mergeCells count="5">
    <mergeCell ref="L2:M2"/>
    <mergeCell ref="E8:F8"/>
    <mergeCell ref="E16:F16"/>
    <mergeCell ref="S2:U2"/>
    <mergeCell ref="S9:U9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46"/>
  <sheetViews>
    <sheetView showGridLines="0" topLeftCell="A23" zoomScale="60" zoomScaleNormal="60" workbookViewId="0">
      <selection activeCell="U40" sqref="U40"/>
    </sheetView>
  </sheetViews>
  <sheetFormatPr defaultRowHeight="21" x14ac:dyDescent="0.65"/>
  <cols>
    <col min="1" max="1" width="9.1328125" style="6"/>
    <col min="2" max="2" width="10.9296875" style="6" customWidth="1"/>
    <col min="3" max="3" width="9.1328125" style="6" customWidth="1"/>
    <col min="4" max="4" width="2.6640625" style="6" customWidth="1"/>
    <col min="5" max="5" width="9.1328125" style="29"/>
    <col min="6" max="6" width="2.6640625" style="6" customWidth="1"/>
    <col min="7" max="7" width="9.1328125" style="6"/>
    <col min="8" max="8" width="12.33203125" style="6" customWidth="1"/>
    <col min="9" max="9" width="13.46484375" style="9" customWidth="1"/>
    <col min="10" max="10" width="4.6640625" style="20" customWidth="1"/>
    <col min="11" max="11" width="7.53125" style="9" customWidth="1"/>
    <col min="12" max="12" width="9.6640625" style="6" customWidth="1"/>
    <col min="13" max="13" width="9.1328125" style="6"/>
    <col min="14" max="14" width="4.6640625" style="6" customWidth="1"/>
    <col min="15" max="15" width="13" style="6" customWidth="1"/>
    <col min="16" max="16" width="15.6640625" style="6" customWidth="1"/>
    <col min="17" max="20" width="15.6640625" customWidth="1"/>
    <col min="21" max="21" width="18.1328125" style="2" customWidth="1"/>
    <col min="22" max="27" width="15.6640625" customWidth="1"/>
  </cols>
  <sheetData>
    <row r="1" spans="1:28" ht="30" customHeight="1" x14ac:dyDescent="0.75">
      <c r="A1" s="110" t="s">
        <v>128</v>
      </c>
    </row>
    <row r="2" spans="1:28" ht="30" customHeight="1" thickBot="1" x14ac:dyDescent="0.7"/>
    <row r="3" spans="1:28" ht="30" customHeight="1" thickTop="1" thickBot="1" x14ac:dyDescent="0.7">
      <c r="B3" s="131" t="s">
        <v>130</v>
      </c>
      <c r="C3" s="147">
        <v>760</v>
      </c>
      <c r="N3" s="125" t="s">
        <v>100</v>
      </c>
      <c r="O3" s="126"/>
      <c r="P3" s="126"/>
      <c r="Q3" s="126"/>
      <c r="R3" s="126"/>
      <c r="S3" s="126"/>
      <c r="T3" s="126"/>
      <c r="U3" s="127"/>
      <c r="W3" s="76" t="s">
        <v>27</v>
      </c>
      <c r="X3" s="67"/>
      <c r="Y3" s="111" t="s">
        <v>28</v>
      </c>
      <c r="Z3" s="112"/>
      <c r="AA3" s="2"/>
    </row>
    <row r="4" spans="1:28" s="6" customFormat="1" ht="30" customHeight="1" thickTop="1" thickBot="1" x14ac:dyDescent="0.9">
      <c r="B4" s="148" t="s">
        <v>69</v>
      </c>
      <c r="C4" s="163">
        <v>1</v>
      </c>
      <c r="E4" s="25"/>
      <c r="H4" s="136" t="s">
        <v>32</v>
      </c>
      <c r="I4" s="137">
        <v>50</v>
      </c>
      <c r="J4" s="70"/>
      <c r="K4" s="9"/>
      <c r="N4" s="52"/>
      <c r="O4" s="40"/>
      <c r="P4" s="48" t="s">
        <v>85</v>
      </c>
      <c r="Q4" s="48" t="s">
        <v>7</v>
      </c>
      <c r="R4" s="48" t="s">
        <v>7</v>
      </c>
      <c r="S4" s="48" t="s">
        <v>8</v>
      </c>
      <c r="T4" s="48" t="s">
        <v>83</v>
      </c>
      <c r="U4" s="60"/>
      <c r="V4"/>
      <c r="W4" s="77" t="s">
        <v>63</v>
      </c>
      <c r="X4" s="48" t="s">
        <v>64</v>
      </c>
      <c r="Y4" s="48" t="s">
        <v>65</v>
      </c>
      <c r="Z4" s="49" t="s">
        <v>64</v>
      </c>
      <c r="AA4" s="2" t="s">
        <v>25</v>
      </c>
      <c r="AB4"/>
    </row>
    <row r="5" spans="1:28" s="6" customFormat="1" ht="30" customHeight="1" thickTop="1" thickBot="1" x14ac:dyDescent="0.9">
      <c r="B5" s="133" t="s">
        <v>155</v>
      </c>
      <c r="C5" s="160">
        <v>1</v>
      </c>
      <c r="D5" s="9"/>
      <c r="E5" s="25"/>
      <c r="F5" s="27"/>
      <c r="G5" s="22"/>
      <c r="H5" s="138" t="s">
        <v>33</v>
      </c>
      <c r="I5" s="139">
        <v>0.79871433676303516</v>
      </c>
      <c r="J5" s="71"/>
      <c r="K5" s="9"/>
      <c r="N5" s="52"/>
      <c r="O5" s="40"/>
      <c r="P5" s="48" t="s">
        <v>81</v>
      </c>
      <c r="Q5" s="48" t="s">
        <v>81</v>
      </c>
      <c r="R5" s="48" t="s">
        <v>82</v>
      </c>
      <c r="S5" s="48" t="s">
        <v>82</v>
      </c>
      <c r="T5" s="48" t="s">
        <v>84</v>
      </c>
      <c r="U5" s="49" t="s">
        <v>80</v>
      </c>
      <c r="V5"/>
      <c r="W5" s="78">
        <f>+C11</f>
        <v>0.6117432363793881</v>
      </c>
      <c r="X5" s="75">
        <f>+I5</f>
        <v>0.79871433676303516</v>
      </c>
      <c r="Y5" s="75">
        <f>+I5</f>
        <v>0.79871433676303516</v>
      </c>
      <c r="Z5" s="79">
        <f>+I5</f>
        <v>0.79871433676303516</v>
      </c>
      <c r="AA5" s="2"/>
      <c r="AB5"/>
    </row>
    <row r="6" spans="1:28" s="6" customFormat="1" ht="30" customHeight="1" thickTop="1" thickBot="1" x14ac:dyDescent="0.7">
      <c r="E6" s="25"/>
      <c r="F6" s="15"/>
      <c r="G6" s="7"/>
      <c r="J6" s="72"/>
      <c r="K6" s="9"/>
      <c r="N6" s="52"/>
      <c r="O6" s="48"/>
      <c r="P6" s="40"/>
      <c r="Q6" s="40"/>
      <c r="R6" s="40"/>
      <c r="S6" s="40"/>
      <c r="T6" s="40"/>
      <c r="U6" s="49"/>
      <c r="V6"/>
      <c r="W6" s="78">
        <f>+C17</f>
        <v>0.49010079626694425</v>
      </c>
      <c r="X6" s="75">
        <f>+H11</f>
        <v>0.70522878657121058</v>
      </c>
      <c r="Y6" s="75">
        <f>+C11</f>
        <v>0.6117432363793881</v>
      </c>
      <c r="Z6" s="79">
        <f>+H11</f>
        <v>0.70522878657121058</v>
      </c>
      <c r="AA6" s="2"/>
      <c r="AB6"/>
    </row>
    <row r="7" spans="1:28" s="6" customFormat="1" ht="30" customHeight="1" thickTop="1" thickBot="1" x14ac:dyDescent="0.9">
      <c r="D7" s="43"/>
      <c r="E7" s="128">
        <v>1</v>
      </c>
      <c r="F7" s="44"/>
      <c r="H7" s="161" t="s">
        <v>37</v>
      </c>
      <c r="I7" s="162">
        <v>89.019859378721094</v>
      </c>
      <c r="J7" s="73"/>
      <c r="K7" s="103" t="s">
        <v>67</v>
      </c>
      <c r="L7" s="105">
        <f>10^($X$37-$Y$37/($Z$37+I7))/C3</f>
        <v>1.3056365686367861</v>
      </c>
      <c r="M7" s="9"/>
      <c r="N7" s="87"/>
      <c r="O7" s="48" t="s">
        <v>13</v>
      </c>
      <c r="P7" s="164">
        <f>+H10-I4-C10</f>
        <v>0</v>
      </c>
      <c r="Q7" s="165">
        <f>+H10*H11-I4*I5-C10*C11</f>
        <v>-1.0302869668521453E-13</v>
      </c>
      <c r="R7" s="165">
        <f>+I5-L7*C11</f>
        <v>-3.2701115149080806E-9</v>
      </c>
      <c r="S7" s="165">
        <f>+(1-I5)-L8*(1-C11)</f>
        <v>2.0738196160330347E-9</v>
      </c>
      <c r="T7" s="166">
        <f>+C10-I4*C4</f>
        <v>0</v>
      </c>
      <c r="U7" s="49" t="s">
        <v>95</v>
      </c>
      <c r="V7"/>
      <c r="W7" s="78">
        <f>+C23</f>
        <v>0.42299105131840931</v>
      </c>
      <c r="X7" s="75">
        <f>+H17</f>
        <v>0.64440756651498798</v>
      </c>
      <c r="Y7" s="75">
        <f>+C17</f>
        <v>0.49010079626694425</v>
      </c>
      <c r="Z7" s="79">
        <f>+H17</f>
        <v>0.64440756651498798</v>
      </c>
      <c r="AA7" s="2"/>
      <c r="AB7"/>
    </row>
    <row r="8" spans="1:28" s="6" customFormat="1" ht="30" customHeight="1" thickTop="1" thickBot="1" x14ac:dyDescent="0.9">
      <c r="D8" s="45"/>
      <c r="E8" s="129"/>
      <c r="F8" s="46"/>
      <c r="H8" s="35"/>
      <c r="I8" s="30"/>
      <c r="J8" s="74"/>
      <c r="K8" s="104" t="s">
        <v>68</v>
      </c>
      <c r="L8" s="106">
        <f>10^($X$38-$Y$38/($Z$38+I7))/C3</f>
        <v>0.51843439708839967</v>
      </c>
      <c r="M8" s="9"/>
      <c r="N8" s="87"/>
      <c r="O8" s="48"/>
      <c r="P8" s="48"/>
      <c r="Q8" s="48"/>
      <c r="R8" s="48"/>
      <c r="S8" s="48"/>
      <c r="T8" s="48"/>
      <c r="U8" s="49" t="s">
        <v>96</v>
      </c>
      <c r="V8"/>
      <c r="W8" s="78">
        <f>+C29</f>
        <v>0.31904216382146994</v>
      </c>
      <c r="X8" s="75">
        <f>+H23</f>
        <v>0.53384374506484034</v>
      </c>
      <c r="Y8" s="75">
        <f>+C23</f>
        <v>0.42299105131840931</v>
      </c>
      <c r="Z8" s="79">
        <f>+H23</f>
        <v>0.53384374506484034</v>
      </c>
      <c r="AA8" s="2"/>
      <c r="AB8"/>
    </row>
    <row r="9" spans="1:28" s="6" customFormat="1" ht="30" customHeight="1" thickTop="1" thickBot="1" x14ac:dyDescent="0.7">
      <c r="E9" s="107"/>
      <c r="J9" s="72"/>
      <c r="N9" s="52"/>
      <c r="O9" s="48"/>
      <c r="P9" s="48"/>
      <c r="Q9" s="48"/>
      <c r="R9" s="48"/>
      <c r="S9" s="48"/>
      <c r="T9" s="48"/>
      <c r="U9" s="49"/>
      <c r="V9"/>
      <c r="W9" s="78">
        <f>+I35</f>
        <v>0.20128567129829372</v>
      </c>
      <c r="X9" s="75">
        <f>+H29</f>
        <v>0.37792041063184489</v>
      </c>
      <c r="Y9" s="75">
        <f>+C29</f>
        <v>0.31904216382146994</v>
      </c>
      <c r="Z9" s="79">
        <f>+H29</f>
        <v>0.37792041063184489</v>
      </c>
      <c r="AA9" s="2"/>
      <c r="AB9"/>
    </row>
    <row r="10" spans="1:28" s="6" customFormat="1" ht="30" customHeight="1" thickTop="1" thickBot="1" x14ac:dyDescent="0.9">
      <c r="B10" s="136" t="s">
        <v>35</v>
      </c>
      <c r="C10" s="137">
        <v>50.000000000000043</v>
      </c>
      <c r="E10" s="24"/>
      <c r="G10" s="136" t="s">
        <v>30</v>
      </c>
      <c r="H10" s="137">
        <v>100.00000000000003</v>
      </c>
      <c r="I10" s="9"/>
      <c r="J10" s="20"/>
      <c r="K10" s="9"/>
      <c r="N10" s="52"/>
      <c r="O10" s="48"/>
      <c r="P10" s="48"/>
      <c r="Q10" s="48"/>
      <c r="R10" s="48"/>
      <c r="S10" s="48"/>
      <c r="T10" s="48"/>
      <c r="U10" s="49"/>
      <c r="V10"/>
      <c r="W10" s="53"/>
      <c r="X10" s="54"/>
      <c r="Y10" s="80">
        <f>+I35</f>
        <v>0.20128567129829372</v>
      </c>
      <c r="Z10" s="81">
        <f>+I35</f>
        <v>0.20128567129829372</v>
      </c>
      <c r="AA10" s="2"/>
      <c r="AB10"/>
    </row>
    <row r="11" spans="1:28" s="6" customFormat="1" ht="30" customHeight="1" thickTop="1" thickBot="1" x14ac:dyDescent="0.9">
      <c r="B11" s="138" t="s">
        <v>40</v>
      </c>
      <c r="C11" s="139">
        <v>0.6117432363793881</v>
      </c>
      <c r="E11" s="24"/>
      <c r="G11" s="138" t="s">
        <v>31</v>
      </c>
      <c r="H11" s="139">
        <v>0.70522878657121058</v>
      </c>
      <c r="I11" s="9"/>
      <c r="J11" s="20"/>
      <c r="K11" s="9"/>
      <c r="N11" s="52"/>
      <c r="O11" s="48"/>
      <c r="P11" s="48"/>
      <c r="Q11" s="48"/>
      <c r="R11" s="48"/>
      <c r="S11" s="48"/>
      <c r="T11" s="48"/>
      <c r="U11" s="49"/>
      <c r="V11"/>
      <c r="W11"/>
      <c r="X11"/>
      <c r="Y11"/>
      <c r="Z11"/>
      <c r="AA11"/>
      <c r="AB11"/>
    </row>
    <row r="12" spans="1:28" s="6" customFormat="1" ht="30" customHeight="1" thickTop="1" thickBot="1" x14ac:dyDescent="0.7">
      <c r="E12" s="24"/>
      <c r="I12" s="9"/>
      <c r="J12" s="20"/>
      <c r="K12" s="9"/>
      <c r="N12" s="52"/>
      <c r="O12" s="48"/>
      <c r="P12" s="48"/>
      <c r="Q12" s="48"/>
      <c r="R12" s="48"/>
      <c r="S12" s="48"/>
      <c r="T12" s="48"/>
      <c r="U12" s="49"/>
      <c r="V12"/>
      <c r="W12"/>
      <c r="X12"/>
      <c r="Y12"/>
      <c r="Z12"/>
      <c r="AA12"/>
      <c r="AB12"/>
    </row>
    <row r="13" spans="1:28" s="6" customFormat="1" ht="30" customHeight="1" thickTop="1" thickBot="1" x14ac:dyDescent="0.9">
      <c r="C13" s="9"/>
      <c r="D13" s="43"/>
      <c r="E13" s="128">
        <v>2</v>
      </c>
      <c r="F13" s="44"/>
      <c r="H13" s="161" t="s">
        <v>34</v>
      </c>
      <c r="I13" s="162">
        <v>92.404206590560278</v>
      </c>
      <c r="J13" s="73"/>
      <c r="K13" s="103" t="s">
        <v>72</v>
      </c>
      <c r="L13" s="105">
        <f>10^($X$37-$Y$37/($Z$37+I13))/C3</f>
        <v>1.438946426736752</v>
      </c>
      <c r="M13" s="9"/>
      <c r="N13" s="87"/>
      <c r="O13" s="48" t="s">
        <v>14</v>
      </c>
      <c r="P13" s="164">
        <f>+C10+H16-H10-C16</f>
        <v>0</v>
      </c>
      <c r="Q13" s="165">
        <f>+C10*C11+H16*H17-H10*H11-C16*C17</f>
        <v>-5.3290705182007514E-14</v>
      </c>
      <c r="R13" s="165">
        <f>+H11-L13*C17</f>
        <v>-2.9579457772044293E-9</v>
      </c>
      <c r="S13" s="165">
        <f>+(1-H11)-L14*(1-C17)</f>
        <v>1.9673744855452924E-9</v>
      </c>
      <c r="T13" s="166">
        <f>+H10-H16</f>
        <v>0</v>
      </c>
      <c r="U13" s="49" t="s">
        <v>94</v>
      </c>
      <c r="V13"/>
      <c r="W13" s="125" t="s">
        <v>153</v>
      </c>
      <c r="X13" s="127"/>
      <c r="Y13" s="29"/>
      <c r="Z13" s="29"/>
      <c r="AA13"/>
      <c r="AB13"/>
    </row>
    <row r="14" spans="1:28" s="6" customFormat="1" ht="30" customHeight="1" thickTop="1" thickBot="1" x14ac:dyDescent="0.9">
      <c r="C14" s="9"/>
      <c r="D14" s="45"/>
      <c r="E14" s="129"/>
      <c r="F14" s="46"/>
      <c r="H14" s="35"/>
      <c r="I14" s="30"/>
      <c r="J14" s="74"/>
      <c r="K14" s="104" t="s">
        <v>73</v>
      </c>
      <c r="L14" s="106">
        <f>10^($X$38-$Y$38/($Z$38+I13))/C3</f>
        <v>0.57809702251611006</v>
      </c>
      <c r="M14" s="9"/>
      <c r="N14" s="87"/>
      <c r="O14" s="48"/>
      <c r="P14" s="48"/>
      <c r="Q14" s="48"/>
      <c r="R14" s="48"/>
      <c r="S14" s="48"/>
      <c r="T14" s="48"/>
      <c r="U14" s="49" t="s">
        <v>97</v>
      </c>
      <c r="V14"/>
      <c r="W14" s="78">
        <f>+Y5</f>
        <v>0.79871433676303516</v>
      </c>
      <c r="X14" s="79">
        <f>+Z5</f>
        <v>0.79871433676303516</v>
      </c>
      <c r="Y14" s="29"/>
      <c r="Z14" s="29"/>
      <c r="AA14"/>
      <c r="AB14"/>
    </row>
    <row r="15" spans="1:28" s="6" customFormat="1" ht="30" customHeight="1" thickTop="1" thickBot="1" x14ac:dyDescent="0.7">
      <c r="E15" s="24"/>
      <c r="I15" s="9"/>
      <c r="J15" s="20"/>
      <c r="K15" s="9"/>
      <c r="N15" s="52"/>
      <c r="O15" s="48"/>
      <c r="P15" s="48"/>
      <c r="Q15" s="48"/>
      <c r="R15" s="48"/>
      <c r="S15" s="48"/>
      <c r="T15" s="48"/>
      <c r="U15" s="49"/>
      <c r="V15"/>
      <c r="W15" s="78">
        <f>+W5</f>
        <v>0.6117432363793881</v>
      </c>
      <c r="X15" s="79">
        <f>+X5</f>
        <v>0.79871433676303516</v>
      </c>
      <c r="Y15" s="29"/>
      <c r="Z15" s="29"/>
      <c r="AA15"/>
      <c r="AB15"/>
    </row>
    <row r="16" spans="1:28" s="6" customFormat="1" ht="30" customHeight="1" thickTop="1" x14ac:dyDescent="0.85">
      <c r="B16" s="136" t="s">
        <v>41</v>
      </c>
      <c r="C16" s="137">
        <v>50.000000000000014</v>
      </c>
      <c r="E16" s="24"/>
      <c r="G16" s="136" t="s">
        <v>57</v>
      </c>
      <c r="H16" s="137">
        <v>100.00000000000003</v>
      </c>
      <c r="I16" s="9"/>
      <c r="J16" s="20"/>
      <c r="K16" s="9"/>
      <c r="N16" s="52"/>
      <c r="O16" s="48"/>
      <c r="P16" s="48"/>
      <c r="Q16" s="48"/>
      <c r="R16" s="48"/>
      <c r="S16" s="48"/>
      <c r="T16" s="48"/>
      <c r="U16" s="49"/>
      <c r="V16"/>
      <c r="W16" s="78">
        <f>+Y6</f>
        <v>0.6117432363793881</v>
      </c>
      <c r="X16" s="79">
        <f>+Z6</f>
        <v>0.70522878657121058</v>
      </c>
      <c r="Y16" s="29"/>
      <c r="Z16" s="29"/>
      <c r="AA16"/>
      <c r="AB16"/>
    </row>
    <row r="17" spans="1:28" s="6" customFormat="1" ht="30" customHeight="1" thickBot="1" x14ac:dyDescent="0.9">
      <c r="B17" s="138" t="s">
        <v>36</v>
      </c>
      <c r="C17" s="139">
        <v>0.49010079626694425</v>
      </c>
      <c r="E17" s="24"/>
      <c r="G17" s="138" t="s">
        <v>58</v>
      </c>
      <c r="H17" s="139">
        <v>0.64440756651498798</v>
      </c>
      <c r="I17" s="9"/>
      <c r="J17" s="20"/>
      <c r="K17" s="9"/>
      <c r="N17" s="52"/>
      <c r="O17" s="48"/>
      <c r="P17" s="48"/>
      <c r="Q17" s="48"/>
      <c r="R17" s="48"/>
      <c r="S17" s="48"/>
      <c r="T17" s="48"/>
      <c r="U17" s="49"/>
      <c r="V17"/>
      <c r="W17" s="78">
        <f>+W6</f>
        <v>0.49010079626694425</v>
      </c>
      <c r="X17" s="79">
        <f>+X6</f>
        <v>0.70522878657121058</v>
      </c>
      <c r="Y17" s="29"/>
      <c r="Z17" s="29"/>
      <c r="AA17"/>
      <c r="AB17"/>
    </row>
    <row r="18" spans="1:28" s="6" customFormat="1" ht="30" customHeight="1" thickTop="1" thickBot="1" x14ac:dyDescent="0.7">
      <c r="E18" s="24"/>
      <c r="I18" s="9"/>
      <c r="J18" s="20"/>
      <c r="K18" s="9"/>
      <c r="N18" s="52"/>
      <c r="O18" s="48"/>
      <c r="P18" s="48"/>
      <c r="Q18" s="48"/>
      <c r="R18" s="48"/>
      <c r="S18" s="48"/>
      <c r="T18" s="48"/>
      <c r="U18" s="49"/>
      <c r="V18"/>
      <c r="W18" s="78">
        <f>+Y7</f>
        <v>0.49010079626694425</v>
      </c>
      <c r="X18" s="79">
        <f>+Z7</f>
        <v>0.64440756651498798</v>
      </c>
      <c r="Y18" s="29"/>
      <c r="Z18" s="29"/>
      <c r="AA18"/>
      <c r="AB18"/>
    </row>
    <row r="19" spans="1:28" s="6" customFormat="1" ht="30" customHeight="1" thickTop="1" thickBot="1" x14ac:dyDescent="0.9">
      <c r="A19" s="131" t="s">
        <v>0</v>
      </c>
      <c r="B19" s="132">
        <v>100</v>
      </c>
      <c r="C19" s="9"/>
      <c r="D19" s="43"/>
      <c r="E19" s="128">
        <v>3</v>
      </c>
      <c r="F19" s="44"/>
      <c r="H19" s="161" t="s">
        <v>48</v>
      </c>
      <c r="I19" s="162">
        <v>94.425609837061685</v>
      </c>
      <c r="J19" s="73"/>
      <c r="K19" s="103" t="s">
        <v>74</v>
      </c>
      <c r="L19" s="105">
        <f>10^($X$37-$Y$37/($Z$37+I19))/C3</f>
        <v>1.5234543771299711</v>
      </c>
      <c r="M19" s="9"/>
      <c r="N19" s="87"/>
      <c r="O19" s="48" t="s">
        <v>66</v>
      </c>
      <c r="P19" s="164">
        <f>+B19+C16+H22-H16-C22</f>
        <v>0</v>
      </c>
      <c r="Q19" s="165">
        <f>+B19*B20+C16*C17+H22*H23-H16*H17-C22*C23</f>
        <v>-2.9428939285480737E-8</v>
      </c>
      <c r="R19" s="165">
        <f>+H17-L19*C23</f>
        <v>-2.1028508934151091E-9</v>
      </c>
      <c r="S19" s="165">
        <f>+(1-H17)-L20*(1-C23)</f>
        <v>1.4324351704786409E-9</v>
      </c>
      <c r="T19" s="166">
        <f>+H16-H22</f>
        <v>0</v>
      </c>
      <c r="U19" s="49" t="s">
        <v>94</v>
      </c>
      <c r="V19"/>
      <c r="W19" s="78">
        <f>+W7</f>
        <v>0.42299105131840931</v>
      </c>
      <c r="X19" s="79">
        <f>+X7</f>
        <v>0.64440756651498798</v>
      </c>
      <c r="Y19" s="29"/>
      <c r="Z19" s="29"/>
      <c r="AA19"/>
      <c r="AB19"/>
    </row>
    <row r="20" spans="1:28" s="6" customFormat="1" ht="30" customHeight="1" thickTop="1" thickBot="1" x14ac:dyDescent="0.9">
      <c r="A20" s="133" t="s">
        <v>54</v>
      </c>
      <c r="B20" s="134">
        <v>0.5</v>
      </c>
      <c r="C20" s="34"/>
      <c r="D20" s="45"/>
      <c r="E20" s="129"/>
      <c r="F20" s="46"/>
      <c r="H20" s="35"/>
      <c r="I20" s="30"/>
      <c r="J20" s="74"/>
      <c r="K20" s="104" t="s">
        <v>75</v>
      </c>
      <c r="L20" s="106">
        <f>10^($X$38-$Y$38/($Z$38+I19))/C3</f>
        <v>0.6162684874559935</v>
      </c>
      <c r="M20" s="9"/>
      <c r="N20" s="87"/>
      <c r="O20" s="48"/>
      <c r="P20" s="48"/>
      <c r="Q20" s="48"/>
      <c r="R20" s="48"/>
      <c r="S20" s="48"/>
      <c r="T20" s="48"/>
      <c r="U20" s="49" t="s">
        <v>98</v>
      </c>
      <c r="V20"/>
      <c r="W20" s="78">
        <f>+Y8</f>
        <v>0.42299105131840931</v>
      </c>
      <c r="X20" s="79">
        <f>+Z8</f>
        <v>0.53384374506484034</v>
      </c>
      <c r="Y20" s="29"/>
      <c r="Z20" s="29"/>
      <c r="AA20"/>
      <c r="AB20"/>
    </row>
    <row r="21" spans="1:28" s="6" customFormat="1" ht="30" customHeight="1" thickTop="1" thickBot="1" x14ac:dyDescent="0.7">
      <c r="E21" s="24"/>
      <c r="I21" s="9"/>
      <c r="J21" s="20"/>
      <c r="K21" s="9"/>
      <c r="N21" s="52"/>
      <c r="O21" s="48"/>
      <c r="P21" s="48"/>
      <c r="Q21" s="48"/>
      <c r="R21" s="48"/>
      <c r="S21" s="48"/>
      <c r="T21" s="48"/>
      <c r="U21" s="49"/>
      <c r="V21"/>
      <c r="W21" s="78">
        <f>+W8</f>
        <v>0.31904216382146994</v>
      </c>
      <c r="X21" s="79">
        <f>+X8</f>
        <v>0.53384374506484034</v>
      </c>
      <c r="Y21" s="29"/>
      <c r="Z21" s="29"/>
      <c r="AA21"/>
      <c r="AB21"/>
    </row>
    <row r="22" spans="1:28" s="6" customFormat="1" ht="30" customHeight="1" thickTop="1" x14ac:dyDescent="0.85">
      <c r="B22" s="136" t="s">
        <v>53</v>
      </c>
      <c r="C22" s="137">
        <v>150</v>
      </c>
      <c r="E22" s="24"/>
      <c r="G22" s="136" t="s">
        <v>59</v>
      </c>
      <c r="H22" s="137">
        <v>100.00000000000003</v>
      </c>
      <c r="I22" s="9"/>
      <c r="J22" s="20"/>
      <c r="K22" s="9"/>
      <c r="N22" s="52"/>
      <c r="O22" s="48"/>
      <c r="P22" s="48"/>
      <c r="Q22" s="48"/>
      <c r="R22" s="48"/>
      <c r="S22" s="48"/>
      <c r="T22" s="48"/>
      <c r="U22" s="49"/>
      <c r="V22"/>
      <c r="W22" s="78">
        <f>+Y9</f>
        <v>0.31904216382146994</v>
      </c>
      <c r="X22" s="79">
        <f>+Z9</f>
        <v>0.37792041063184489</v>
      </c>
      <c r="Y22" s="29"/>
      <c r="Z22" s="29"/>
      <c r="AA22"/>
      <c r="AB22"/>
    </row>
    <row r="23" spans="1:28" s="6" customFormat="1" ht="30" customHeight="1" thickBot="1" x14ac:dyDescent="0.9">
      <c r="B23" s="138" t="s">
        <v>52</v>
      </c>
      <c r="C23" s="139">
        <v>0.42299105131840931</v>
      </c>
      <c r="E23" s="24"/>
      <c r="G23" s="138" t="s">
        <v>60</v>
      </c>
      <c r="H23" s="139">
        <v>0.53384374506484034</v>
      </c>
      <c r="I23" s="9"/>
      <c r="J23" s="20"/>
      <c r="K23" s="9"/>
      <c r="N23" s="52"/>
      <c r="O23" s="48"/>
      <c r="P23" s="48"/>
      <c r="Q23" s="48"/>
      <c r="R23" s="48"/>
      <c r="S23" s="48"/>
      <c r="T23" s="48"/>
      <c r="U23" s="49"/>
      <c r="V23"/>
      <c r="W23" s="78">
        <f>+W9</f>
        <v>0.20128567129829372</v>
      </c>
      <c r="X23" s="79">
        <f>+X9</f>
        <v>0.37792041063184489</v>
      </c>
      <c r="Y23" s="29"/>
      <c r="Z23" s="29"/>
      <c r="AA23"/>
      <c r="AB23"/>
    </row>
    <row r="24" spans="1:28" s="6" customFormat="1" ht="30" customHeight="1" thickTop="1" thickBot="1" x14ac:dyDescent="0.7">
      <c r="E24" s="24"/>
      <c r="I24" s="9"/>
      <c r="J24" s="20"/>
      <c r="K24" s="9"/>
      <c r="N24" s="52"/>
      <c r="O24" s="48"/>
      <c r="P24" s="48"/>
      <c r="Q24" s="48"/>
      <c r="R24" s="48"/>
      <c r="S24" s="48"/>
      <c r="T24" s="48"/>
      <c r="U24" s="49"/>
      <c r="V24"/>
      <c r="W24" s="82">
        <f>+Y10</f>
        <v>0.20128567129829372</v>
      </c>
      <c r="X24" s="81">
        <f>+Z10</f>
        <v>0.20128567129829372</v>
      </c>
      <c r="Y24" s="29"/>
      <c r="Z24" s="29"/>
      <c r="AA24"/>
      <c r="AB24"/>
    </row>
    <row r="25" spans="1:28" s="6" customFormat="1" ht="30" customHeight="1" thickTop="1" thickBot="1" x14ac:dyDescent="0.9">
      <c r="C25" s="9"/>
      <c r="D25" s="43"/>
      <c r="E25" s="128">
        <v>4</v>
      </c>
      <c r="F25" s="44"/>
      <c r="H25" s="161" t="s">
        <v>49</v>
      </c>
      <c r="I25" s="162">
        <v>97.805473854085008</v>
      </c>
      <c r="J25" s="73"/>
      <c r="K25" s="103" t="s">
        <v>76</v>
      </c>
      <c r="L25" s="105">
        <f>10^($X$37-$Y$37/($Z$37+I25))/C3</f>
        <v>1.6732701992731929</v>
      </c>
      <c r="M25" s="9"/>
      <c r="N25" s="87"/>
      <c r="O25" s="48" t="s">
        <v>70</v>
      </c>
      <c r="P25" s="164">
        <f>+C22+H28-H22-C28</f>
        <v>0</v>
      </c>
      <c r="Q25" s="165">
        <f>+C22*C23+H28*H29-H22*H23-C28*C29</f>
        <v>-3.1875865857955432E-7</v>
      </c>
      <c r="R25" s="165">
        <f>+H23-L25*C29</f>
        <v>3.0738633860494247E-11</v>
      </c>
      <c r="S25" s="165">
        <f>+(1-H23)-L26*(1-C29)</f>
        <v>2.169193158430005E-10</v>
      </c>
      <c r="T25" s="166">
        <f>+H22-H28</f>
        <v>0</v>
      </c>
      <c r="U25" s="49" t="s">
        <v>94</v>
      </c>
      <c r="V25"/>
      <c r="W25" s="29"/>
      <c r="X25" s="29"/>
      <c r="Y25" s="29"/>
      <c r="Z25" s="29"/>
      <c r="AA25"/>
      <c r="AB25"/>
    </row>
    <row r="26" spans="1:28" s="6" customFormat="1" ht="30" customHeight="1" thickTop="1" thickBot="1" x14ac:dyDescent="0.9">
      <c r="C26" s="9"/>
      <c r="D26" s="45"/>
      <c r="E26" s="129"/>
      <c r="F26" s="46"/>
      <c r="H26" s="35"/>
      <c r="I26" s="30"/>
      <c r="J26" s="74"/>
      <c r="K26" s="104" t="s">
        <v>77</v>
      </c>
      <c r="L26" s="106">
        <f>10^($X$38-$Y$38/($Z$38+I25))/C3</f>
        <v>0.68455964518194623</v>
      </c>
      <c r="M26" s="9"/>
      <c r="N26" s="87"/>
      <c r="O26" s="48"/>
      <c r="P26" s="48"/>
      <c r="Q26" s="48"/>
      <c r="R26" s="48"/>
      <c r="S26" s="48"/>
      <c r="T26" s="48"/>
      <c r="U26" s="49" t="s">
        <v>99</v>
      </c>
      <c r="V26"/>
      <c r="W26" s="29"/>
      <c r="X26" s="29"/>
      <c r="Y26" s="29"/>
      <c r="Z26" s="29"/>
      <c r="AA26"/>
      <c r="AB26"/>
    </row>
    <row r="27" spans="1:28" s="6" customFormat="1" ht="30" customHeight="1" thickTop="1" thickBot="1" x14ac:dyDescent="0.7">
      <c r="E27" s="24"/>
      <c r="I27" s="9"/>
      <c r="J27" s="20"/>
      <c r="K27" s="9"/>
      <c r="N27" s="52"/>
      <c r="O27" s="48"/>
      <c r="P27" s="48"/>
      <c r="Q27" s="48"/>
      <c r="R27" s="48"/>
      <c r="S27" s="48"/>
      <c r="T27" s="48"/>
      <c r="U27" s="49"/>
      <c r="V27"/>
      <c r="W27" s="66" t="s">
        <v>46</v>
      </c>
      <c r="X27" s="67"/>
      <c r="Y27" s="67" t="s">
        <v>47</v>
      </c>
      <c r="Z27" s="68"/>
      <c r="AA27"/>
      <c r="AB27"/>
    </row>
    <row r="28" spans="1:28" s="6" customFormat="1" ht="30" customHeight="1" thickTop="1" x14ac:dyDescent="0.85">
      <c r="B28" s="136" t="s">
        <v>55</v>
      </c>
      <c r="C28" s="137">
        <v>150.00000000000003</v>
      </c>
      <c r="E28" s="24"/>
      <c r="G28" s="136" t="s">
        <v>61</v>
      </c>
      <c r="H28" s="137">
        <v>100.00000000000003</v>
      </c>
      <c r="I28" s="9"/>
      <c r="J28" s="20"/>
      <c r="K28" s="9"/>
      <c r="N28" s="52"/>
      <c r="O28" s="48"/>
      <c r="P28" s="48"/>
      <c r="Q28" s="48"/>
      <c r="R28" s="48"/>
      <c r="S28" s="48"/>
      <c r="T28" s="48"/>
      <c r="U28" s="49"/>
      <c r="V28"/>
      <c r="W28" s="83" t="s">
        <v>1</v>
      </c>
      <c r="X28" s="84">
        <f>+C10/H10</f>
        <v>0.50000000000000033</v>
      </c>
      <c r="Y28" s="85" t="s">
        <v>1</v>
      </c>
      <c r="Z28" s="86">
        <f>+C22/H22</f>
        <v>1.4999999999999996</v>
      </c>
      <c r="AA28"/>
      <c r="AB28"/>
    </row>
    <row r="29" spans="1:28" s="6" customFormat="1" ht="30" customHeight="1" thickBot="1" x14ac:dyDescent="0.9">
      <c r="B29" s="138" t="s">
        <v>56</v>
      </c>
      <c r="C29" s="139">
        <v>0.31904216382146994</v>
      </c>
      <c r="E29" s="24"/>
      <c r="G29" s="138" t="s">
        <v>62</v>
      </c>
      <c r="H29" s="139">
        <v>0.37792041063184489</v>
      </c>
      <c r="I29" s="9"/>
      <c r="J29" s="20"/>
      <c r="K29" s="9"/>
      <c r="N29" s="52"/>
      <c r="O29" s="48"/>
      <c r="P29" s="48"/>
      <c r="Q29" s="48"/>
      <c r="R29" s="48"/>
      <c r="S29" s="48"/>
      <c r="T29" s="48"/>
      <c r="U29" s="49"/>
      <c r="V29"/>
      <c r="W29" s="83" t="s">
        <v>2</v>
      </c>
      <c r="X29" s="84">
        <f>+(I4/H10)*I5</f>
        <v>0.39935716838151747</v>
      </c>
      <c r="Y29" s="85" t="s">
        <v>2</v>
      </c>
      <c r="Z29" s="86">
        <f>+(I34/H28)*I35</f>
        <v>0.10064283564914683</v>
      </c>
      <c r="AA29"/>
      <c r="AB29"/>
    </row>
    <row r="30" spans="1:28" s="6" customFormat="1" ht="30" customHeight="1" thickTop="1" thickBot="1" x14ac:dyDescent="0.7">
      <c r="E30" s="24"/>
      <c r="I30" s="9"/>
      <c r="J30" s="20"/>
      <c r="K30" s="9"/>
      <c r="N30" s="52"/>
      <c r="O30" s="48"/>
      <c r="P30" s="48"/>
      <c r="Q30" s="48"/>
      <c r="R30" s="48"/>
      <c r="S30" s="48"/>
      <c r="T30" s="48"/>
      <c r="U30" s="49"/>
      <c r="V30"/>
      <c r="W30" s="50" t="s">
        <v>26</v>
      </c>
      <c r="X30" s="48" t="s">
        <v>25</v>
      </c>
      <c r="Y30" s="48" t="s">
        <v>26</v>
      </c>
      <c r="Z30" s="49" t="s">
        <v>25</v>
      </c>
      <c r="AA30"/>
      <c r="AB30"/>
    </row>
    <row r="31" spans="1:28" s="6" customFormat="1" ht="30" customHeight="1" thickTop="1" thickBot="1" x14ac:dyDescent="0.9">
      <c r="C31" s="9"/>
      <c r="D31" s="43"/>
      <c r="E31" s="128">
        <v>5</v>
      </c>
      <c r="F31" s="44"/>
      <c r="H31" s="161" t="s">
        <v>50</v>
      </c>
      <c r="I31" s="162">
        <v>102.05644196560381</v>
      </c>
      <c r="J31" s="73"/>
      <c r="K31" s="103" t="s">
        <v>78</v>
      </c>
      <c r="L31" s="105">
        <f>10^($X$37-$Y$37/($Z$37+I31))/C3</f>
        <v>1.8775325863664267</v>
      </c>
      <c r="M31" s="9"/>
      <c r="N31" s="87"/>
      <c r="O31" s="48" t="s">
        <v>71</v>
      </c>
      <c r="P31" s="164">
        <f>+C28-H28-I34</f>
        <v>0</v>
      </c>
      <c r="Q31" s="165">
        <f>+C28*C29-H28*H29-I34*I35</f>
        <v>-5.4878686484016725E-8</v>
      </c>
      <c r="R31" s="165">
        <f>+H29-L31*I35</f>
        <v>3.6006570502955526E-9</v>
      </c>
      <c r="S31" s="165">
        <f>+(1-H29)-L32*(1-I35)</f>
        <v>-2.32460783955446E-9</v>
      </c>
      <c r="T31" s="166">
        <f>+I4-C5*I34</f>
        <v>0</v>
      </c>
      <c r="U31" s="49" t="s">
        <v>95</v>
      </c>
      <c r="W31" s="50">
        <v>0</v>
      </c>
      <c r="X31" s="75">
        <f>+X28*W31+X29</f>
        <v>0.39935716838151747</v>
      </c>
      <c r="Y31" s="48">
        <v>0</v>
      </c>
      <c r="Z31" s="79">
        <f>+Z28*Y31-Z29</f>
        <v>-0.10064283564914683</v>
      </c>
      <c r="AA31"/>
      <c r="AB31"/>
    </row>
    <row r="32" spans="1:28" s="6" customFormat="1" ht="30" customHeight="1" thickTop="1" thickBot="1" x14ac:dyDescent="0.9">
      <c r="C32" s="9"/>
      <c r="D32" s="45"/>
      <c r="E32" s="129"/>
      <c r="F32" s="46"/>
      <c r="H32" s="35"/>
      <c r="I32" s="30"/>
      <c r="J32" s="74"/>
      <c r="K32" s="104" t="s">
        <v>79</v>
      </c>
      <c r="L32" s="106">
        <f>10^($X$38-$Y$38/($Z$38+I31))/C3</f>
        <v>0.77885117286419614</v>
      </c>
      <c r="M32" s="9"/>
      <c r="N32" s="88"/>
      <c r="O32" s="54"/>
      <c r="P32" s="54"/>
      <c r="Q32" s="89"/>
      <c r="R32" s="89"/>
      <c r="S32" s="89"/>
      <c r="T32" s="89"/>
      <c r="U32" s="55" t="s">
        <v>156</v>
      </c>
      <c r="W32" s="53">
        <v>1</v>
      </c>
      <c r="X32" s="80">
        <f>+X28*W32+X29</f>
        <v>0.8993571683815178</v>
      </c>
      <c r="Y32" s="54">
        <v>1</v>
      </c>
      <c r="Z32" s="81">
        <f>+Z28*Y32-Z29</f>
        <v>1.3993571643508527</v>
      </c>
      <c r="AA32"/>
      <c r="AB32"/>
    </row>
    <row r="33" spans="1:28" s="6" customFormat="1" ht="30" customHeight="1" thickTop="1" thickBot="1" x14ac:dyDescent="0.7">
      <c r="C33" s="9"/>
      <c r="D33" s="7"/>
      <c r="E33" s="36"/>
      <c r="F33" s="7"/>
      <c r="G33" s="35"/>
      <c r="H33" s="30"/>
      <c r="I33" s="8"/>
      <c r="J33" s="19"/>
      <c r="K33" s="9"/>
      <c r="O33" s="29"/>
      <c r="P33" s="29"/>
      <c r="Q33" s="2"/>
      <c r="R33" s="2"/>
      <c r="S33" s="2"/>
      <c r="T33" s="2"/>
      <c r="U33" s="69"/>
      <c r="AA33"/>
      <c r="AB33"/>
    </row>
    <row r="34" spans="1:28" s="6" customFormat="1" ht="30" customHeight="1" thickTop="1" thickBot="1" x14ac:dyDescent="0.9">
      <c r="C34" s="9"/>
      <c r="E34" s="26"/>
      <c r="F34" s="28"/>
      <c r="G34" s="28"/>
      <c r="H34" s="136" t="s">
        <v>51</v>
      </c>
      <c r="I34" s="137">
        <v>50</v>
      </c>
      <c r="J34" s="70"/>
      <c r="K34" s="9"/>
      <c r="O34" s="29"/>
      <c r="P34" s="151" t="s">
        <v>133</v>
      </c>
      <c r="Q34" s="2"/>
      <c r="R34" s="56" t="s">
        <v>91</v>
      </c>
      <c r="S34" s="58"/>
      <c r="T34" s="2"/>
      <c r="U34" s="69"/>
      <c r="W34" s="33"/>
      <c r="X34" s="33"/>
      <c r="Y34" s="33"/>
      <c r="Z34" s="33"/>
      <c r="AA34"/>
      <c r="AB34"/>
    </row>
    <row r="35" spans="1:28" s="6" customFormat="1" ht="30" customHeight="1" thickTop="1" thickBot="1" x14ac:dyDescent="0.9">
      <c r="E35" s="29"/>
      <c r="H35" s="138" t="s">
        <v>52</v>
      </c>
      <c r="I35" s="139">
        <v>0.20128567129829372</v>
      </c>
      <c r="J35" s="71"/>
      <c r="K35" s="9"/>
      <c r="O35" s="29"/>
      <c r="P35" s="152" t="s">
        <v>134</v>
      </c>
      <c r="Q35" s="2"/>
      <c r="R35" s="52" t="s">
        <v>92</v>
      </c>
      <c r="S35" s="61"/>
      <c r="T35" s="2"/>
      <c r="U35" s="2"/>
      <c r="V35"/>
      <c r="W35" s="56" t="s">
        <v>3</v>
      </c>
      <c r="X35" s="57"/>
      <c r="Y35" s="57"/>
      <c r="Z35" s="58"/>
      <c r="AA35"/>
      <c r="AB35"/>
    </row>
    <row r="36" spans="1:28" s="6" customFormat="1" ht="30" customHeight="1" thickTop="1" thickBot="1" x14ac:dyDescent="0.7">
      <c r="A36" s="32"/>
      <c r="E36" s="29"/>
      <c r="I36" s="9"/>
      <c r="J36" s="20"/>
      <c r="K36" s="9"/>
      <c r="O36" s="29"/>
      <c r="P36" s="153" t="s">
        <v>135</v>
      </c>
      <c r="R36" s="59" t="s">
        <v>93</v>
      </c>
      <c r="S36" s="62"/>
      <c r="T36" s="2"/>
      <c r="U36" s="2"/>
      <c r="V36"/>
      <c r="W36" s="52"/>
      <c r="X36" s="48" t="s">
        <v>4</v>
      </c>
      <c r="Y36" s="48" t="s">
        <v>5</v>
      </c>
      <c r="Z36" s="49" t="s">
        <v>6</v>
      </c>
      <c r="AA36"/>
      <c r="AB36"/>
    </row>
    <row r="37" spans="1:28" s="6" customFormat="1" ht="30" customHeight="1" thickTop="1" thickBot="1" x14ac:dyDescent="0.7">
      <c r="A37" s="6" t="s">
        <v>129</v>
      </c>
      <c r="E37" s="29"/>
      <c r="I37" s="9"/>
      <c r="J37" s="20"/>
      <c r="K37" s="9"/>
      <c r="O37" s="29"/>
      <c r="P37" s="154" t="s">
        <v>136</v>
      </c>
      <c r="R37" s="1"/>
      <c r="T37" s="2"/>
      <c r="U37" s="2"/>
      <c r="V37"/>
      <c r="W37" s="50" t="s">
        <v>7</v>
      </c>
      <c r="X37" s="48">
        <v>6.8927199999999997</v>
      </c>
      <c r="Y37" s="48">
        <v>1203.5309999999999</v>
      </c>
      <c r="Z37" s="49">
        <v>219.88800000000001</v>
      </c>
      <c r="AA37"/>
      <c r="AB37"/>
    </row>
    <row r="38" spans="1:28" s="6" customFormat="1" ht="30" customHeight="1" thickTop="1" thickBot="1" x14ac:dyDescent="0.9">
      <c r="A38" s="6" t="s">
        <v>157</v>
      </c>
      <c r="E38" s="29"/>
      <c r="I38" s="9"/>
      <c r="J38" s="20"/>
      <c r="K38" s="9"/>
      <c r="R38" s="42"/>
      <c r="S38" s="37"/>
      <c r="T38" s="3"/>
      <c r="U38" s="2"/>
      <c r="V38"/>
      <c r="W38" s="53" t="s">
        <v>8</v>
      </c>
      <c r="X38" s="54">
        <v>6.9580500000000001</v>
      </c>
      <c r="Y38" s="54">
        <v>1346.7729999999999</v>
      </c>
      <c r="Z38" s="55">
        <v>219.69300000000001</v>
      </c>
      <c r="AA38"/>
      <c r="AB38"/>
    </row>
    <row r="39" spans="1:28" ht="30" customHeight="1" thickTop="1" x14ac:dyDescent="0.65">
      <c r="A39" s="20" t="s">
        <v>121</v>
      </c>
      <c r="R39" s="37"/>
      <c r="S39" s="37"/>
      <c r="T39" s="3"/>
      <c r="W39" s="2"/>
      <c r="X39" s="2"/>
      <c r="Y39" s="2"/>
      <c r="Z39" s="2"/>
    </row>
    <row r="40" spans="1:28" ht="30" customHeight="1" x14ac:dyDescent="0.65">
      <c r="A40" s="20" t="s">
        <v>154</v>
      </c>
      <c r="E40" s="69"/>
      <c r="R40" s="37"/>
      <c r="S40" s="37"/>
      <c r="T40" s="3"/>
      <c r="W40" s="2"/>
      <c r="X40" s="2"/>
      <c r="Y40" s="2"/>
      <c r="Z40" s="2"/>
    </row>
    <row r="41" spans="1:28" ht="30" customHeight="1" x14ac:dyDescent="0.85">
      <c r="A41" s="20" t="s">
        <v>158</v>
      </c>
      <c r="E41" s="69"/>
      <c r="R41" s="37"/>
      <c r="S41" s="37"/>
      <c r="T41" s="3"/>
      <c r="W41" s="2"/>
      <c r="X41" s="2"/>
      <c r="Y41" s="2"/>
      <c r="Z41" s="2"/>
    </row>
    <row r="42" spans="1:28" ht="30" customHeight="1" x14ac:dyDescent="0.65">
      <c r="A42"/>
      <c r="W42" s="2"/>
      <c r="X42" s="2"/>
      <c r="Y42" s="2"/>
      <c r="Z42" s="2"/>
    </row>
    <row r="43" spans="1:28" ht="30" customHeight="1" x14ac:dyDescent="0.65">
      <c r="A43" s="20" t="s">
        <v>117</v>
      </c>
    </row>
    <row r="44" spans="1:28" ht="30" customHeight="1" x14ac:dyDescent="0.65">
      <c r="A44" s="20" t="s">
        <v>118</v>
      </c>
    </row>
    <row r="45" spans="1:28" ht="30" customHeight="1" x14ac:dyDescent="0.65"/>
    <row r="46" spans="1:28" ht="30" customHeight="1" x14ac:dyDescent="0.65"/>
  </sheetData>
  <mergeCells count="7">
    <mergeCell ref="N3:U3"/>
    <mergeCell ref="W13:X13"/>
    <mergeCell ref="E25:E26"/>
    <mergeCell ref="E31:E32"/>
    <mergeCell ref="E19:E20"/>
    <mergeCell ref="E7:E8"/>
    <mergeCell ref="E13:E14"/>
  </mergeCells>
  <pageMargins left="0.7" right="0.7" top="0.75" bottom="0.75" header="0.3" footer="0.3"/>
  <pageSetup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A6EB-21B0-4FD2-8E47-9F1920CEBA2B}">
  <sheetPr>
    <pageSetUpPr fitToPage="1"/>
  </sheetPr>
  <dimension ref="A1:AB46"/>
  <sheetViews>
    <sheetView showGridLines="0" zoomScale="60" zoomScaleNormal="60" workbookViewId="0">
      <selection activeCell="V13" sqref="V13"/>
    </sheetView>
  </sheetViews>
  <sheetFormatPr defaultRowHeight="21" x14ac:dyDescent="0.65"/>
  <cols>
    <col min="1" max="1" width="9.06640625" style="6"/>
    <col min="2" max="2" width="10.9296875" style="6" customWidth="1"/>
    <col min="3" max="3" width="9.1328125" style="6" customWidth="1"/>
    <col min="4" max="4" width="2.6640625" style="6" customWidth="1"/>
    <col min="5" max="5" width="9.06640625" style="69"/>
    <col min="6" max="6" width="2.6640625" style="6" customWidth="1"/>
    <col min="7" max="7" width="9.06640625" style="6"/>
    <col min="8" max="8" width="12.33203125" style="6" customWidth="1"/>
    <col min="9" max="9" width="13.46484375" style="9" customWidth="1"/>
    <col min="10" max="10" width="4.6640625" style="20" customWidth="1"/>
    <col min="11" max="11" width="7.53125" style="9" customWidth="1"/>
    <col min="12" max="12" width="9.6640625" style="6" customWidth="1"/>
    <col min="13" max="13" width="9.06640625" style="6"/>
    <col min="14" max="14" width="4.6640625" style="6" customWidth="1"/>
    <col min="15" max="15" width="13" style="6" customWidth="1"/>
    <col min="16" max="16" width="15.6640625" style="6" customWidth="1"/>
    <col min="17" max="20" width="15.6640625" customWidth="1"/>
    <col min="21" max="21" width="18.1328125" style="2" customWidth="1"/>
    <col min="22" max="27" width="15.6640625" customWidth="1"/>
  </cols>
  <sheetData>
    <row r="1" spans="1:28" ht="30" customHeight="1" x14ac:dyDescent="0.75">
      <c r="A1" s="110" t="s">
        <v>128</v>
      </c>
    </row>
    <row r="2" spans="1:28" ht="30" customHeight="1" thickBot="1" x14ac:dyDescent="0.7"/>
    <row r="3" spans="1:28" ht="30" customHeight="1" thickTop="1" thickBot="1" x14ac:dyDescent="0.7">
      <c r="B3" s="131" t="s">
        <v>130</v>
      </c>
      <c r="C3" s="147"/>
      <c r="N3" s="125" t="s">
        <v>100</v>
      </c>
      <c r="O3" s="126"/>
      <c r="P3" s="126"/>
      <c r="Q3" s="126"/>
      <c r="R3" s="126"/>
      <c r="S3" s="126"/>
      <c r="T3" s="126"/>
      <c r="U3" s="127"/>
      <c r="W3" s="125" t="s">
        <v>3</v>
      </c>
      <c r="X3" s="126"/>
      <c r="Y3" s="126"/>
      <c r="Z3" s="127"/>
      <c r="AA3" s="2"/>
    </row>
    <row r="4" spans="1:28" s="6" customFormat="1" ht="30" customHeight="1" thickTop="1" thickBot="1" x14ac:dyDescent="0.9">
      <c r="B4" s="148" t="s">
        <v>69</v>
      </c>
      <c r="C4" s="163"/>
      <c r="E4" s="25"/>
      <c r="H4" s="136" t="s">
        <v>32</v>
      </c>
      <c r="I4" s="137"/>
      <c r="J4" s="70"/>
      <c r="K4" s="9"/>
      <c r="N4" s="52"/>
      <c r="O4" s="40"/>
      <c r="P4" s="48" t="s">
        <v>85</v>
      </c>
      <c r="Q4" s="48" t="s">
        <v>7</v>
      </c>
      <c r="R4" s="48" t="s">
        <v>7</v>
      </c>
      <c r="S4" s="48" t="s">
        <v>8</v>
      </c>
      <c r="T4" s="48" t="s">
        <v>83</v>
      </c>
      <c r="U4" s="60"/>
      <c r="V4"/>
      <c r="W4" s="52"/>
      <c r="X4" s="48" t="s">
        <v>4</v>
      </c>
      <c r="Y4" s="48" t="s">
        <v>5</v>
      </c>
      <c r="Z4" s="49" t="s">
        <v>6</v>
      </c>
      <c r="AA4" s="2" t="s">
        <v>25</v>
      </c>
      <c r="AB4"/>
    </row>
    <row r="5" spans="1:28" s="6" customFormat="1" ht="30" customHeight="1" thickTop="1" thickBot="1" x14ac:dyDescent="0.9">
      <c r="B5" s="133" t="s">
        <v>155</v>
      </c>
      <c r="C5" s="160"/>
      <c r="D5" s="9"/>
      <c r="E5" s="25"/>
      <c r="F5" s="27"/>
      <c r="G5" s="22"/>
      <c r="H5" s="138" t="s">
        <v>33</v>
      </c>
      <c r="I5" s="139"/>
      <c r="J5" s="71"/>
      <c r="K5" s="9"/>
      <c r="N5" s="52"/>
      <c r="O5" s="40"/>
      <c r="P5" s="48" t="s">
        <v>81</v>
      </c>
      <c r="Q5" s="48" t="s">
        <v>81</v>
      </c>
      <c r="R5" s="48" t="s">
        <v>82</v>
      </c>
      <c r="S5" s="48" t="s">
        <v>82</v>
      </c>
      <c r="T5" s="48" t="s">
        <v>84</v>
      </c>
      <c r="U5" s="49" t="s">
        <v>80</v>
      </c>
      <c r="V5"/>
      <c r="W5" s="50" t="s">
        <v>7</v>
      </c>
      <c r="X5" s="48">
        <v>6.8927199999999997</v>
      </c>
      <c r="Y5" s="48">
        <v>1203.5309999999999</v>
      </c>
      <c r="Z5" s="49">
        <v>219.88800000000001</v>
      </c>
      <c r="AA5" s="2"/>
      <c r="AB5"/>
    </row>
    <row r="6" spans="1:28" s="6" customFormat="1" ht="30" customHeight="1" thickTop="1" thickBot="1" x14ac:dyDescent="0.7">
      <c r="E6" s="25"/>
      <c r="F6" s="15"/>
      <c r="G6" s="7"/>
      <c r="J6" s="72"/>
      <c r="K6" s="9"/>
      <c r="N6" s="52"/>
      <c r="O6" s="48"/>
      <c r="P6" s="40"/>
      <c r="Q6" s="40"/>
      <c r="R6" s="40"/>
      <c r="S6" s="40"/>
      <c r="T6" s="40"/>
      <c r="U6" s="49"/>
      <c r="V6"/>
      <c r="W6" s="53" t="s">
        <v>8</v>
      </c>
      <c r="X6" s="54">
        <v>6.9580500000000001</v>
      </c>
      <c r="Y6" s="54">
        <v>1346.7729999999999</v>
      </c>
      <c r="Z6" s="55">
        <v>219.69300000000001</v>
      </c>
      <c r="AA6" s="2"/>
      <c r="AB6"/>
    </row>
    <row r="7" spans="1:28" s="6" customFormat="1" ht="30" customHeight="1" thickTop="1" thickBot="1" x14ac:dyDescent="0.9">
      <c r="D7" s="43"/>
      <c r="E7" s="128">
        <v>1</v>
      </c>
      <c r="F7" s="44"/>
      <c r="H7" s="161" t="s">
        <v>37</v>
      </c>
      <c r="I7" s="162"/>
      <c r="J7" s="73"/>
      <c r="K7" s="103" t="s">
        <v>67</v>
      </c>
      <c r="L7" s="105"/>
      <c r="M7" s="9"/>
      <c r="N7" s="87"/>
      <c r="O7" s="48" t="s">
        <v>13</v>
      </c>
      <c r="P7" s="164"/>
      <c r="Q7" s="165"/>
      <c r="R7" s="165"/>
      <c r="S7" s="165"/>
      <c r="T7" s="166"/>
      <c r="U7" s="49" t="s">
        <v>95</v>
      </c>
      <c r="V7"/>
      <c r="W7" s="121"/>
      <c r="X7" s="121"/>
      <c r="Y7" s="121"/>
      <c r="Z7" s="121"/>
      <c r="AA7" s="2"/>
      <c r="AB7"/>
    </row>
    <row r="8" spans="1:28" s="6" customFormat="1" ht="30" customHeight="1" thickTop="1" thickBot="1" x14ac:dyDescent="0.9">
      <c r="D8" s="45"/>
      <c r="E8" s="129"/>
      <c r="F8" s="46"/>
      <c r="H8" s="35"/>
      <c r="I8" s="30"/>
      <c r="J8" s="74"/>
      <c r="K8" s="104" t="s">
        <v>68</v>
      </c>
      <c r="L8" s="106"/>
      <c r="M8" s="9"/>
      <c r="N8" s="87"/>
      <c r="O8" s="48"/>
      <c r="P8" s="48"/>
      <c r="Q8" s="48"/>
      <c r="R8" s="48"/>
      <c r="S8" s="48"/>
      <c r="T8" s="48"/>
      <c r="U8" s="49" t="s">
        <v>96</v>
      </c>
      <c r="V8"/>
      <c r="W8" s="121"/>
      <c r="X8" s="121"/>
      <c r="Y8" s="121"/>
      <c r="Z8" s="121"/>
      <c r="AA8" s="2"/>
      <c r="AB8"/>
    </row>
    <row r="9" spans="1:28" s="6" customFormat="1" ht="30" customHeight="1" thickTop="1" thickBot="1" x14ac:dyDescent="0.7">
      <c r="E9" s="107"/>
      <c r="J9" s="72"/>
      <c r="N9" s="52"/>
      <c r="O9" s="48"/>
      <c r="P9" s="48"/>
      <c r="Q9" s="48"/>
      <c r="R9" s="48"/>
      <c r="S9" s="48"/>
      <c r="T9" s="48"/>
      <c r="U9" s="49"/>
      <c r="V9"/>
      <c r="W9" s="121"/>
      <c r="X9" s="121"/>
      <c r="Y9" s="121"/>
      <c r="Z9" s="121"/>
      <c r="AA9" s="2"/>
      <c r="AB9"/>
    </row>
    <row r="10" spans="1:28" s="6" customFormat="1" ht="30" customHeight="1" thickTop="1" x14ac:dyDescent="0.85">
      <c r="B10" s="136" t="s">
        <v>35</v>
      </c>
      <c r="C10" s="137"/>
      <c r="E10" s="24"/>
      <c r="G10" s="136" t="s">
        <v>30</v>
      </c>
      <c r="H10" s="137"/>
      <c r="I10" s="9"/>
      <c r="J10" s="20"/>
      <c r="K10" s="9"/>
      <c r="N10" s="52"/>
      <c r="O10" s="48"/>
      <c r="P10" s="48"/>
      <c r="Q10" s="48"/>
      <c r="R10" s="48"/>
      <c r="S10" s="48"/>
      <c r="T10" s="48"/>
      <c r="U10" s="49"/>
      <c r="V10"/>
      <c r="W10" s="123"/>
      <c r="X10" s="123"/>
      <c r="Y10" s="121"/>
      <c r="Z10" s="121"/>
      <c r="AA10" s="2"/>
      <c r="AB10"/>
    </row>
    <row r="11" spans="1:28" s="6" customFormat="1" ht="30" customHeight="1" thickBot="1" x14ac:dyDescent="0.9">
      <c r="B11" s="138" t="s">
        <v>40</v>
      </c>
      <c r="C11" s="139"/>
      <c r="E11" s="24"/>
      <c r="G11" s="138" t="s">
        <v>31</v>
      </c>
      <c r="H11" s="139"/>
      <c r="I11" s="9"/>
      <c r="J11" s="20"/>
      <c r="K11" s="9"/>
      <c r="N11" s="52"/>
      <c r="O11" s="48"/>
      <c r="P11" s="48"/>
      <c r="Q11" s="48"/>
      <c r="R11" s="48"/>
      <c r="S11" s="48"/>
      <c r="T11" s="48"/>
      <c r="U11" s="49"/>
      <c r="V11"/>
      <c r="W11" s="3"/>
      <c r="X11" s="3"/>
      <c r="Y11" s="3"/>
      <c r="Z11" s="3"/>
      <c r="AA11"/>
      <c r="AB11"/>
    </row>
    <row r="12" spans="1:28" s="6" customFormat="1" ht="30" customHeight="1" thickTop="1" thickBot="1" x14ac:dyDescent="0.7">
      <c r="E12" s="24"/>
      <c r="I12" s="9"/>
      <c r="J12" s="20"/>
      <c r="K12" s="9"/>
      <c r="N12" s="52"/>
      <c r="O12" s="48"/>
      <c r="P12" s="48"/>
      <c r="Q12" s="48"/>
      <c r="R12" s="48"/>
      <c r="S12" s="48"/>
      <c r="T12" s="48"/>
      <c r="U12" s="49"/>
      <c r="V12"/>
      <c r="W12" s="3"/>
      <c r="X12" s="3"/>
      <c r="Y12" s="3"/>
      <c r="Z12" s="3"/>
      <c r="AA12"/>
      <c r="AB12"/>
    </row>
    <row r="13" spans="1:28" s="6" customFormat="1" ht="30" customHeight="1" thickTop="1" thickBot="1" x14ac:dyDescent="0.9">
      <c r="C13" s="9"/>
      <c r="D13" s="43"/>
      <c r="E13" s="128">
        <v>2</v>
      </c>
      <c r="F13" s="44"/>
      <c r="H13" s="161" t="s">
        <v>34</v>
      </c>
      <c r="I13" s="162"/>
      <c r="J13" s="73"/>
      <c r="K13" s="103" t="s">
        <v>72</v>
      </c>
      <c r="L13" s="105"/>
      <c r="M13" s="9"/>
      <c r="N13" s="87"/>
      <c r="O13" s="48" t="s">
        <v>14</v>
      </c>
      <c r="P13" s="164"/>
      <c r="Q13" s="165"/>
      <c r="R13" s="165"/>
      <c r="S13" s="165"/>
      <c r="T13" s="166"/>
      <c r="U13" s="49" t="s">
        <v>94</v>
      </c>
      <c r="V13"/>
      <c r="W13" s="130"/>
      <c r="X13" s="130"/>
      <c r="Y13" s="123"/>
      <c r="Z13" s="123"/>
      <c r="AA13"/>
      <c r="AB13"/>
    </row>
    <row r="14" spans="1:28" s="6" customFormat="1" ht="30" customHeight="1" thickTop="1" thickBot="1" x14ac:dyDescent="0.9">
      <c r="C14" s="9"/>
      <c r="D14" s="45"/>
      <c r="E14" s="129"/>
      <c r="F14" s="46"/>
      <c r="H14" s="35"/>
      <c r="I14" s="30"/>
      <c r="J14" s="74"/>
      <c r="K14" s="104" t="s">
        <v>73</v>
      </c>
      <c r="L14" s="106"/>
      <c r="M14" s="9"/>
      <c r="N14" s="87"/>
      <c r="O14" s="48"/>
      <c r="P14" s="48"/>
      <c r="Q14" s="48"/>
      <c r="R14" s="48"/>
      <c r="S14" s="48"/>
      <c r="T14" s="48"/>
      <c r="U14" s="49" t="s">
        <v>97</v>
      </c>
      <c r="V14"/>
      <c r="W14" s="121"/>
      <c r="X14" s="121"/>
      <c r="Y14" s="123"/>
      <c r="Z14" s="123"/>
      <c r="AA14"/>
      <c r="AB14"/>
    </row>
    <row r="15" spans="1:28" s="6" customFormat="1" ht="30" customHeight="1" thickTop="1" thickBot="1" x14ac:dyDescent="0.7">
      <c r="E15" s="24"/>
      <c r="I15" s="9"/>
      <c r="J15" s="20"/>
      <c r="K15" s="9"/>
      <c r="N15" s="52"/>
      <c r="O15" s="48"/>
      <c r="P15" s="48"/>
      <c r="Q15" s="48"/>
      <c r="R15" s="48"/>
      <c r="S15" s="48"/>
      <c r="T15" s="48"/>
      <c r="U15" s="49"/>
      <c r="V15"/>
      <c r="W15" s="121"/>
      <c r="X15" s="121"/>
      <c r="Y15" s="123"/>
      <c r="Z15" s="123"/>
      <c r="AA15"/>
      <c r="AB15"/>
    </row>
    <row r="16" spans="1:28" s="6" customFormat="1" ht="30" customHeight="1" thickTop="1" x14ac:dyDescent="0.85">
      <c r="B16" s="136" t="s">
        <v>41</v>
      </c>
      <c r="C16" s="137"/>
      <c r="E16" s="24"/>
      <c r="G16" s="136" t="s">
        <v>57</v>
      </c>
      <c r="H16" s="137"/>
      <c r="I16" s="9"/>
      <c r="J16" s="20"/>
      <c r="K16" s="9"/>
      <c r="N16" s="52"/>
      <c r="O16" s="48"/>
      <c r="P16" s="48"/>
      <c r="Q16" s="48"/>
      <c r="R16" s="48"/>
      <c r="S16" s="48"/>
      <c r="T16" s="48"/>
      <c r="U16" s="49"/>
      <c r="V16"/>
      <c r="W16" s="121"/>
      <c r="X16" s="121"/>
      <c r="Y16" s="123"/>
      <c r="Z16" s="123"/>
      <c r="AA16"/>
      <c r="AB16"/>
    </row>
    <row r="17" spans="1:28" s="6" customFormat="1" ht="30" customHeight="1" thickBot="1" x14ac:dyDescent="0.9">
      <c r="B17" s="138" t="s">
        <v>36</v>
      </c>
      <c r="C17" s="139"/>
      <c r="E17" s="24"/>
      <c r="G17" s="138" t="s">
        <v>58</v>
      </c>
      <c r="H17" s="139"/>
      <c r="I17" s="9"/>
      <c r="J17" s="20"/>
      <c r="K17" s="9"/>
      <c r="N17" s="52"/>
      <c r="O17" s="48"/>
      <c r="P17" s="48"/>
      <c r="Q17" s="48"/>
      <c r="R17" s="48"/>
      <c r="S17" s="48"/>
      <c r="T17" s="48"/>
      <c r="U17" s="49"/>
      <c r="V17"/>
      <c r="W17" s="121"/>
      <c r="X17" s="121"/>
      <c r="Y17" s="123"/>
      <c r="Z17" s="123"/>
      <c r="AA17"/>
      <c r="AB17"/>
    </row>
    <row r="18" spans="1:28" s="6" customFormat="1" ht="30" customHeight="1" thickTop="1" thickBot="1" x14ac:dyDescent="0.7">
      <c r="E18" s="24"/>
      <c r="I18" s="9"/>
      <c r="J18" s="20"/>
      <c r="K18" s="9"/>
      <c r="N18" s="52"/>
      <c r="O18" s="48"/>
      <c r="P18" s="48"/>
      <c r="Q18" s="48"/>
      <c r="R18" s="48"/>
      <c r="S18" s="48"/>
      <c r="T18" s="48"/>
      <c r="U18" s="49"/>
      <c r="V18"/>
      <c r="W18" s="121"/>
      <c r="X18" s="121"/>
      <c r="Y18" s="123"/>
      <c r="Z18" s="123"/>
      <c r="AA18"/>
      <c r="AB18"/>
    </row>
    <row r="19" spans="1:28" s="6" customFormat="1" ht="30" customHeight="1" thickTop="1" thickBot="1" x14ac:dyDescent="0.9">
      <c r="A19" s="131" t="s">
        <v>0</v>
      </c>
      <c r="B19" s="132"/>
      <c r="C19" s="9"/>
      <c r="D19" s="43"/>
      <c r="E19" s="128">
        <v>3</v>
      </c>
      <c r="F19" s="44"/>
      <c r="H19" s="161" t="s">
        <v>48</v>
      </c>
      <c r="I19" s="162"/>
      <c r="J19" s="73"/>
      <c r="K19" s="103" t="s">
        <v>74</v>
      </c>
      <c r="L19" s="105"/>
      <c r="M19" s="9"/>
      <c r="N19" s="87"/>
      <c r="O19" s="48" t="s">
        <v>66</v>
      </c>
      <c r="P19" s="164"/>
      <c r="Q19" s="165"/>
      <c r="R19" s="165"/>
      <c r="S19" s="165"/>
      <c r="T19" s="166"/>
      <c r="U19" s="49" t="s">
        <v>94</v>
      </c>
      <c r="V19"/>
      <c r="W19" s="121"/>
      <c r="X19" s="121"/>
      <c r="Y19" s="123"/>
      <c r="Z19" s="123"/>
      <c r="AA19"/>
      <c r="AB19"/>
    </row>
    <row r="20" spans="1:28" s="6" customFormat="1" ht="30" customHeight="1" thickTop="1" thickBot="1" x14ac:dyDescent="0.9">
      <c r="A20" s="133" t="s">
        <v>54</v>
      </c>
      <c r="B20" s="134"/>
      <c r="C20" s="34"/>
      <c r="D20" s="45"/>
      <c r="E20" s="129"/>
      <c r="F20" s="46"/>
      <c r="H20" s="35"/>
      <c r="I20" s="30"/>
      <c r="J20" s="74"/>
      <c r="K20" s="104" t="s">
        <v>75</v>
      </c>
      <c r="L20" s="106"/>
      <c r="M20" s="9"/>
      <c r="N20" s="87"/>
      <c r="O20" s="48"/>
      <c r="P20" s="48"/>
      <c r="Q20" s="48"/>
      <c r="R20" s="48"/>
      <c r="S20" s="48"/>
      <c r="T20" s="48"/>
      <c r="U20" s="49" t="s">
        <v>98</v>
      </c>
      <c r="V20"/>
      <c r="W20" s="121"/>
      <c r="X20" s="121"/>
      <c r="Y20" s="123"/>
      <c r="Z20" s="123"/>
      <c r="AA20"/>
      <c r="AB20"/>
    </row>
    <row r="21" spans="1:28" s="6" customFormat="1" ht="30" customHeight="1" thickTop="1" thickBot="1" x14ac:dyDescent="0.7">
      <c r="E21" s="24"/>
      <c r="I21" s="9"/>
      <c r="J21" s="20"/>
      <c r="K21" s="9"/>
      <c r="N21" s="52"/>
      <c r="O21" s="48"/>
      <c r="P21" s="48"/>
      <c r="Q21" s="48"/>
      <c r="R21" s="48"/>
      <c r="S21" s="48"/>
      <c r="T21" s="48"/>
      <c r="U21" s="49"/>
      <c r="V21"/>
      <c r="W21" s="121"/>
      <c r="X21" s="121"/>
      <c r="Y21" s="123"/>
      <c r="Z21" s="123"/>
      <c r="AA21"/>
      <c r="AB21"/>
    </row>
    <row r="22" spans="1:28" s="6" customFormat="1" ht="30" customHeight="1" thickTop="1" x14ac:dyDescent="0.85">
      <c r="B22" s="136" t="s">
        <v>53</v>
      </c>
      <c r="C22" s="137"/>
      <c r="E22" s="24"/>
      <c r="G22" s="136" t="s">
        <v>59</v>
      </c>
      <c r="H22" s="137"/>
      <c r="I22" s="9"/>
      <c r="J22" s="20"/>
      <c r="K22" s="9"/>
      <c r="N22" s="52"/>
      <c r="O22" s="48"/>
      <c r="P22" s="48"/>
      <c r="Q22" s="48"/>
      <c r="R22" s="48"/>
      <c r="S22" s="48"/>
      <c r="T22" s="48"/>
      <c r="U22" s="49"/>
      <c r="V22"/>
      <c r="W22" s="121"/>
      <c r="X22" s="121"/>
      <c r="Y22" s="123"/>
      <c r="Z22" s="123"/>
      <c r="AA22"/>
      <c r="AB22"/>
    </row>
    <row r="23" spans="1:28" s="6" customFormat="1" ht="30" customHeight="1" thickBot="1" x14ac:dyDescent="0.9">
      <c r="B23" s="138" t="s">
        <v>52</v>
      </c>
      <c r="C23" s="139"/>
      <c r="E23" s="24"/>
      <c r="G23" s="138" t="s">
        <v>60</v>
      </c>
      <c r="H23" s="139"/>
      <c r="I23" s="9"/>
      <c r="J23" s="20"/>
      <c r="K23" s="9"/>
      <c r="N23" s="52"/>
      <c r="O23" s="48"/>
      <c r="P23" s="48"/>
      <c r="Q23" s="48"/>
      <c r="R23" s="48"/>
      <c r="S23" s="48"/>
      <c r="T23" s="48"/>
      <c r="U23" s="49"/>
      <c r="V23"/>
      <c r="W23" s="121"/>
      <c r="X23" s="121"/>
      <c r="Y23" s="123"/>
      <c r="Z23" s="123"/>
      <c r="AA23"/>
      <c r="AB23"/>
    </row>
    <row r="24" spans="1:28" s="6" customFormat="1" ht="30" customHeight="1" thickTop="1" thickBot="1" x14ac:dyDescent="0.7">
      <c r="E24" s="24"/>
      <c r="I24" s="9"/>
      <c r="J24" s="20"/>
      <c r="K24" s="9"/>
      <c r="N24" s="52"/>
      <c r="O24" s="48"/>
      <c r="P24" s="48"/>
      <c r="Q24" s="48"/>
      <c r="R24" s="48"/>
      <c r="S24" s="48"/>
      <c r="T24" s="48"/>
      <c r="U24" s="49"/>
      <c r="V24"/>
      <c r="W24" s="121"/>
      <c r="X24" s="121"/>
      <c r="Y24" s="123"/>
      <c r="Z24" s="123"/>
      <c r="AA24"/>
      <c r="AB24"/>
    </row>
    <row r="25" spans="1:28" s="6" customFormat="1" ht="30" customHeight="1" thickTop="1" thickBot="1" x14ac:dyDescent="0.9">
      <c r="C25" s="9"/>
      <c r="D25" s="43"/>
      <c r="E25" s="128">
        <v>4</v>
      </c>
      <c r="F25" s="44"/>
      <c r="H25" s="161" t="s">
        <v>49</v>
      </c>
      <c r="I25" s="162"/>
      <c r="J25" s="73"/>
      <c r="K25" s="103" t="s">
        <v>76</v>
      </c>
      <c r="L25" s="105"/>
      <c r="M25" s="9"/>
      <c r="N25" s="87"/>
      <c r="O25" s="48" t="s">
        <v>70</v>
      </c>
      <c r="P25" s="164"/>
      <c r="Q25" s="165"/>
      <c r="R25" s="165"/>
      <c r="S25" s="165"/>
      <c r="T25" s="166"/>
      <c r="U25" s="49" t="s">
        <v>94</v>
      </c>
      <c r="V25"/>
      <c r="W25" s="123"/>
      <c r="X25" s="123"/>
      <c r="Y25" s="123"/>
      <c r="Z25" s="123"/>
      <c r="AA25"/>
      <c r="AB25"/>
    </row>
    <row r="26" spans="1:28" s="6" customFormat="1" ht="30" customHeight="1" thickTop="1" thickBot="1" x14ac:dyDescent="0.9">
      <c r="C26" s="9"/>
      <c r="D26" s="45"/>
      <c r="E26" s="129"/>
      <c r="F26" s="46"/>
      <c r="H26" s="35"/>
      <c r="I26" s="30"/>
      <c r="J26" s="74"/>
      <c r="K26" s="104" t="s">
        <v>77</v>
      </c>
      <c r="L26" s="106"/>
      <c r="M26" s="9"/>
      <c r="N26" s="87"/>
      <c r="O26" s="48"/>
      <c r="P26" s="48"/>
      <c r="Q26" s="48"/>
      <c r="R26" s="48"/>
      <c r="S26" s="48"/>
      <c r="T26" s="48"/>
      <c r="U26" s="49" t="s">
        <v>99</v>
      </c>
      <c r="V26"/>
      <c r="W26" s="123"/>
      <c r="X26" s="123"/>
      <c r="Y26" s="123"/>
      <c r="Z26" s="123"/>
      <c r="AA26"/>
      <c r="AB26"/>
    </row>
    <row r="27" spans="1:28" s="6" customFormat="1" ht="30" customHeight="1" thickTop="1" thickBot="1" x14ac:dyDescent="0.7">
      <c r="E27" s="24"/>
      <c r="I27" s="9"/>
      <c r="J27" s="20"/>
      <c r="K27" s="9"/>
      <c r="N27" s="52"/>
      <c r="O27" s="48"/>
      <c r="P27" s="48"/>
      <c r="Q27" s="48"/>
      <c r="R27" s="48"/>
      <c r="S27" s="48"/>
      <c r="T27" s="48"/>
      <c r="U27" s="49"/>
      <c r="V27"/>
      <c r="W27" s="123"/>
      <c r="X27" s="123"/>
      <c r="Y27" s="123"/>
      <c r="Z27" s="123"/>
      <c r="AA27"/>
      <c r="AB27"/>
    </row>
    <row r="28" spans="1:28" s="6" customFormat="1" ht="30" customHeight="1" thickTop="1" x14ac:dyDescent="0.85">
      <c r="B28" s="136" t="s">
        <v>55</v>
      </c>
      <c r="C28" s="137"/>
      <c r="E28" s="24"/>
      <c r="G28" s="136" t="s">
        <v>61</v>
      </c>
      <c r="H28" s="137"/>
      <c r="I28" s="9"/>
      <c r="J28" s="20"/>
      <c r="K28" s="9"/>
      <c r="N28" s="52"/>
      <c r="O28" s="48"/>
      <c r="P28" s="48"/>
      <c r="Q28" s="48"/>
      <c r="R28" s="48"/>
      <c r="S28" s="48"/>
      <c r="T28" s="48"/>
      <c r="U28" s="49"/>
      <c r="V28"/>
      <c r="W28" s="122"/>
      <c r="X28" s="71"/>
      <c r="Y28" s="122"/>
      <c r="Z28" s="71"/>
      <c r="AA28"/>
      <c r="AB28"/>
    </row>
    <row r="29" spans="1:28" s="6" customFormat="1" ht="30" customHeight="1" thickBot="1" x14ac:dyDescent="0.9">
      <c r="B29" s="138" t="s">
        <v>56</v>
      </c>
      <c r="C29" s="139"/>
      <c r="E29" s="24"/>
      <c r="G29" s="138" t="s">
        <v>62</v>
      </c>
      <c r="H29" s="139"/>
      <c r="I29" s="9"/>
      <c r="J29" s="20"/>
      <c r="K29" s="9"/>
      <c r="N29" s="52"/>
      <c r="O29" s="48"/>
      <c r="P29" s="48"/>
      <c r="Q29" s="48"/>
      <c r="R29" s="48"/>
      <c r="S29" s="48"/>
      <c r="T29" s="48"/>
      <c r="U29" s="49"/>
      <c r="V29"/>
      <c r="W29" s="122"/>
      <c r="X29" s="71"/>
      <c r="Y29" s="122"/>
      <c r="Z29" s="71"/>
      <c r="AA29"/>
      <c r="AB29"/>
    </row>
    <row r="30" spans="1:28" s="6" customFormat="1" ht="30" customHeight="1" thickTop="1" thickBot="1" x14ac:dyDescent="0.7">
      <c r="E30" s="24"/>
      <c r="I30" s="9"/>
      <c r="J30" s="20"/>
      <c r="K30" s="9"/>
      <c r="N30" s="52"/>
      <c r="O30" s="48"/>
      <c r="P30" s="48"/>
      <c r="Q30" s="48"/>
      <c r="R30" s="48"/>
      <c r="S30" s="48"/>
      <c r="T30" s="48"/>
      <c r="U30" s="49"/>
      <c r="V30"/>
      <c r="W30" s="123"/>
      <c r="X30" s="123"/>
      <c r="Y30" s="123"/>
      <c r="Z30" s="123"/>
      <c r="AA30"/>
      <c r="AB30"/>
    </row>
    <row r="31" spans="1:28" s="6" customFormat="1" ht="30" customHeight="1" thickTop="1" thickBot="1" x14ac:dyDescent="0.9">
      <c r="C31" s="9"/>
      <c r="D31" s="43"/>
      <c r="E31" s="128">
        <v>5</v>
      </c>
      <c r="F31" s="44"/>
      <c r="H31" s="161" t="s">
        <v>50</v>
      </c>
      <c r="I31" s="162"/>
      <c r="J31" s="73"/>
      <c r="K31" s="103" t="s">
        <v>78</v>
      </c>
      <c r="L31" s="105"/>
      <c r="M31" s="9"/>
      <c r="N31" s="87"/>
      <c r="O31" s="48" t="s">
        <v>71</v>
      </c>
      <c r="P31" s="164"/>
      <c r="Q31" s="165"/>
      <c r="R31" s="165"/>
      <c r="S31" s="165"/>
      <c r="T31" s="166"/>
      <c r="U31" s="49" t="s">
        <v>95</v>
      </c>
      <c r="W31" s="123"/>
      <c r="X31" s="121"/>
      <c r="Y31" s="123"/>
      <c r="Z31" s="121"/>
      <c r="AA31"/>
      <c r="AB31"/>
    </row>
    <row r="32" spans="1:28" s="6" customFormat="1" ht="30" customHeight="1" thickTop="1" thickBot="1" x14ac:dyDescent="0.9">
      <c r="C32" s="9"/>
      <c r="D32" s="45"/>
      <c r="E32" s="129"/>
      <c r="F32" s="46"/>
      <c r="H32" s="35"/>
      <c r="I32" s="30"/>
      <c r="J32" s="74"/>
      <c r="K32" s="104" t="s">
        <v>79</v>
      </c>
      <c r="L32" s="106"/>
      <c r="M32" s="9"/>
      <c r="N32" s="88"/>
      <c r="O32" s="54"/>
      <c r="P32" s="54"/>
      <c r="Q32" s="89"/>
      <c r="R32" s="89"/>
      <c r="S32" s="89"/>
      <c r="T32" s="89"/>
      <c r="U32" s="55" t="s">
        <v>156</v>
      </c>
      <c r="W32" s="123"/>
      <c r="X32" s="121"/>
      <c r="Y32" s="123"/>
      <c r="Z32" s="121"/>
      <c r="AA32"/>
      <c r="AB32"/>
    </row>
    <row r="33" spans="1:28" s="6" customFormat="1" ht="30" customHeight="1" thickTop="1" thickBot="1" x14ac:dyDescent="0.7">
      <c r="C33" s="9"/>
      <c r="D33" s="7"/>
      <c r="E33" s="36"/>
      <c r="F33" s="7"/>
      <c r="G33" s="35"/>
      <c r="H33" s="30"/>
      <c r="I33" s="8"/>
      <c r="J33" s="19"/>
      <c r="K33" s="9"/>
      <c r="O33" s="69"/>
      <c r="P33" s="69"/>
      <c r="Q33" s="2"/>
      <c r="R33" s="2"/>
      <c r="S33" s="2"/>
      <c r="T33" s="2"/>
      <c r="U33" s="69"/>
      <c r="W33" s="37"/>
      <c r="X33" s="37"/>
      <c r="Y33" s="37"/>
      <c r="Z33" s="37"/>
      <c r="AA33"/>
      <c r="AB33"/>
    </row>
    <row r="34" spans="1:28" s="6" customFormat="1" ht="30" customHeight="1" thickTop="1" thickBot="1" x14ac:dyDescent="0.9">
      <c r="C34" s="9"/>
      <c r="E34" s="26"/>
      <c r="F34" s="28"/>
      <c r="G34" s="28"/>
      <c r="H34" s="136" t="s">
        <v>51</v>
      </c>
      <c r="I34" s="137"/>
      <c r="J34" s="70"/>
      <c r="K34" s="9"/>
      <c r="O34" s="69"/>
      <c r="P34" s="151" t="s">
        <v>133</v>
      </c>
      <c r="Q34" s="2"/>
      <c r="R34" s="56" t="s">
        <v>91</v>
      </c>
      <c r="S34" s="58"/>
      <c r="T34" s="2"/>
      <c r="U34" s="69"/>
      <c r="W34" s="69"/>
      <c r="X34" s="69"/>
      <c r="Y34" s="69"/>
      <c r="Z34" s="69"/>
      <c r="AA34"/>
      <c r="AB34"/>
    </row>
    <row r="35" spans="1:28" s="6" customFormat="1" ht="30" customHeight="1" thickTop="1" thickBot="1" x14ac:dyDescent="0.9">
      <c r="E35" s="69"/>
      <c r="H35" s="138" t="s">
        <v>52</v>
      </c>
      <c r="I35" s="139"/>
      <c r="J35" s="71"/>
      <c r="K35" s="9"/>
      <c r="O35" s="69"/>
      <c r="P35" s="152" t="s">
        <v>134</v>
      </c>
      <c r="Q35" s="2"/>
      <c r="R35" s="52" t="s">
        <v>92</v>
      </c>
      <c r="S35" s="61"/>
      <c r="T35" s="2"/>
      <c r="U35" s="2"/>
      <c r="V35"/>
      <c r="AA35"/>
      <c r="AB35"/>
    </row>
    <row r="36" spans="1:28" s="6" customFormat="1" ht="30" customHeight="1" thickTop="1" thickBot="1" x14ac:dyDescent="0.7">
      <c r="A36" s="32"/>
      <c r="E36" s="69"/>
      <c r="I36" s="9"/>
      <c r="J36" s="20"/>
      <c r="K36" s="9"/>
      <c r="O36" s="69"/>
      <c r="P36" s="153" t="s">
        <v>135</v>
      </c>
      <c r="R36" s="59" t="s">
        <v>93</v>
      </c>
      <c r="S36" s="62"/>
      <c r="T36" s="2"/>
      <c r="U36" s="2"/>
      <c r="V36"/>
      <c r="AA36"/>
      <c r="AB36"/>
    </row>
    <row r="37" spans="1:28" s="6" customFormat="1" ht="30" customHeight="1" thickTop="1" thickBot="1" x14ac:dyDescent="0.7">
      <c r="E37" s="69"/>
      <c r="I37" s="9"/>
      <c r="J37" s="20"/>
      <c r="K37" s="9"/>
      <c r="O37" s="69"/>
      <c r="P37" s="154" t="s">
        <v>136</v>
      </c>
      <c r="R37" s="1"/>
      <c r="T37" s="2"/>
      <c r="U37" s="2"/>
      <c r="V37"/>
      <c r="AA37"/>
      <c r="AB37"/>
    </row>
    <row r="38" spans="1:28" s="6" customFormat="1" ht="30" customHeight="1" thickTop="1" x14ac:dyDescent="0.65">
      <c r="E38" s="69"/>
      <c r="I38" s="9"/>
      <c r="J38" s="20"/>
      <c r="K38" s="9"/>
      <c r="R38" s="42"/>
      <c r="S38" s="37"/>
      <c r="T38" s="3"/>
      <c r="U38" s="2"/>
      <c r="V38"/>
      <c r="AA38"/>
      <c r="AB38"/>
    </row>
    <row r="39" spans="1:28" ht="30" customHeight="1" x14ac:dyDescent="0.65">
      <c r="A39" s="20"/>
      <c r="R39" s="37"/>
      <c r="S39" s="37"/>
      <c r="T39" s="3"/>
      <c r="W39" s="2"/>
      <c r="X39" s="2"/>
      <c r="Y39" s="2"/>
      <c r="Z39" s="2"/>
    </row>
    <row r="40" spans="1:28" ht="30" customHeight="1" x14ac:dyDescent="0.65">
      <c r="A40" s="20"/>
      <c r="R40" s="37"/>
      <c r="S40" s="37"/>
      <c r="T40" s="3"/>
      <c r="W40" s="2"/>
      <c r="X40" s="2"/>
      <c r="Y40" s="2"/>
      <c r="Z40" s="2"/>
    </row>
    <row r="41" spans="1:28" ht="30" customHeight="1" x14ac:dyDescent="0.65">
      <c r="A41" s="20"/>
      <c r="R41" s="37"/>
      <c r="S41" s="37"/>
      <c r="T41" s="3"/>
      <c r="W41" s="2"/>
      <c r="X41" s="2"/>
      <c r="Y41" s="2"/>
      <c r="Z41" s="2"/>
    </row>
    <row r="42" spans="1:28" ht="30" customHeight="1" x14ac:dyDescent="0.65">
      <c r="A42"/>
      <c r="W42" s="2"/>
      <c r="X42" s="2"/>
      <c r="Y42" s="2"/>
      <c r="Z42" s="2"/>
    </row>
    <row r="43" spans="1:28" ht="30" customHeight="1" x14ac:dyDescent="0.65">
      <c r="A43" s="20"/>
    </row>
    <row r="44" spans="1:28" ht="30" customHeight="1" x14ac:dyDescent="0.65">
      <c r="A44" s="20"/>
    </row>
    <row r="45" spans="1:28" ht="30" customHeight="1" x14ac:dyDescent="0.65"/>
    <row r="46" spans="1:28" ht="30" customHeight="1" x14ac:dyDescent="0.65"/>
  </sheetData>
  <mergeCells count="8">
    <mergeCell ref="E31:E32"/>
    <mergeCell ref="W3:Z3"/>
    <mergeCell ref="N3:U3"/>
    <mergeCell ref="E7:E8"/>
    <mergeCell ref="E13:E14"/>
    <mergeCell ref="W13:X13"/>
    <mergeCell ref="E19:E20"/>
    <mergeCell ref="E25:E26"/>
  </mergeCells>
  <pageMargins left="0.7" right="0.7" top="0.75" bottom="0.75" header="0.3" footer="0.3"/>
  <pageSetup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>
    <pageSetUpPr fitToPage="1"/>
  </sheetPr>
  <dimension ref="A1:P111"/>
  <sheetViews>
    <sheetView topLeftCell="A7" zoomScale="94" zoomScaleNormal="94" workbookViewId="0">
      <selection activeCell="F4" sqref="F4"/>
    </sheetView>
  </sheetViews>
  <sheetFormatPr defaultRowHeight="14.25" x14ac:dyDescent="0.45"/>
  <cols>
    <col min="1" max="6" width="16.6640625" customWidth="1"/>
    <col min="7" max="7" width="11.53125" customWidth="1"/>
    <col min="8" max="16" width="16.6640625" customWidth="1"/>
  </cols>
  <sheetData>
    <row r="1" spans="1:12" ht="21.4" thickBot="1" x14ac:dyDescent="0.7">
      <c r="A1" s="17" t="s">
        <v>12</v>
      </c>
      <c r="B1" s="6"/>
      <c r="C1" s="90"/>
      <c r="D1" s="97" t="s">
        <v>104</v>
      </c>
      <c r="E1" s="9">
        <v>760</v>
      </c>
      <c r="F1" s="6"/>
      <c r="G1" s="6"/>
    </row>
    <row r="2" spans="1:12" ht="25.9" thickTop="1" x14ac:dyDescent="0.85">
      <c r="A2" s="100" t="s">
        <v>26</v>
      </c>
      <c r="B2" s="100" t="s">
        <v>25</v>
      </c>
      <c r="C2" s="100" t="s">
        <v>9</v>
      </c>
      <c r="D2" s="100" t="s">
        <v>113</v>
      </c>
      <c r="E2" s="100" t="s">
        <v>114</v>
      </c>
      <c r="F2" s="100" t="s">
        <v>10</v>
      </c>
      <c r="G2" s="69"/>
      <c r="H2" s="56" t="s">
        <v>3</v>
      </c>
      <c r="I2" s="57"/>
      <c r="J2" s="57"/>
      <c r="K2" s="58"/>
      <c r="L2" s="69"/>
    </row>
    <row r="3" spans="1:12" ht="24.4" thickBot="1" x14ac:dyDescent="0.7">
      <c r="A3" s="101" t="s">
        <v>101</v>
      </c>
      <c r="B3" s="101" t="s">
        <v>101</v>
      </c>
      <c r="C3" s="101" t="s">
        <v>103</v>
      </c>
      <c r="D3" s="101" t="s">
        <v>102</v>
      </c>
      <c r="E3" s="101" t="s">
        <v>102</v>
      </c>
      <c r="F3" s="101" t="s">
        <v>102</v>
      </c>
      <c r="G3" s="69"/>
      <c r="H3" s="50"/>
      <c r="I3" s="48" t="s">
        <v>4</v>
      </c>
      <c r="J3" s="48" t="s">
        <v>5</v>
      </c>
      <c r="K3" s="49" t="s">
        <v>6</v>
      </c>
      <c r="L3" s="69"/>
    </row>
    <row r="4" spans="1:12" ht="21.4" thickTop="1" x14ac:dyDescent="0.65">
      <c r="A4" s="92">
        <v>0</v>
      </c>
      <c r="B4" s="95">
        <f>+A4*D4/$E$1</f>
        <v>0</v>
      </c>
      <c r="C4" s="94">
        <v>110.62216088942701</v>
      </c>
      <c r="D4" s="90">
        <f t="shared" ref="D4:D35" si="0">10^($I$4-$J$4/(C4+$K$4))</f>
        <v>1783.5521403253808</v>
      </c>
      <c r="E4" s="90">
        <f t="shared" ref="E4:E35" si="1">10^($I$5-$J$5/(C4+$K$5))</f>
        <v>760.0000000000008</v>
      </c>
      <c r="F4" s="93">
        <f>+A4*D4+(1-A4)*E4-$E$1</f>
        <v>0</v>
      </c>
      <c r="H4" s="50" t="s">
        <v>7</v>
      </c>
      <c r="I4" s="48">
        <v>6.8927199999999997</v>
      </c>
      <c r="J4" s="48">
        <v>1203.5309999999999</v>
      </c>
      <c r="K4" s="49">
        <v>219.88800000000001</v>
      </c>
      <c r="L4" s="69"/>
    </row>
    <row r="5" spans="1:12" ht="21.4" thickBot="1" x14ac:dyDescent="0.7">
      <c r="A5" s="92">
        <v>0.01</v>
      </c>
      <c r="B5" s="95">
        <f t="shared" ref="B5:B68" si="2">+A5*D5/$E$1</f>
        <v>2.3188539647312698E-2</v>
      </c>
      <c r="C5" s="94">
        <v>110.15096938668003</v>
      </c>
      <c r="D5" s="90">
        <f t="shared" si="0"/>
        <v>1762.3290131957649</v>
      </c>
      <c r="E5" s="90">
        <f t="shared" si="1"/>
        <v>749.8754645131736</v>
      </c>
      <c r="F5" s="93">
        <f t="shared" ref="F5:F68" si="3">+A5*D5+(1-A5)*E5-$E$1</f>
        <v>0</v>
      </c>
      <c r="H5" s="53" t="s">
        <v>8</v>
      </c>
      <c r="I5" s="54">
        <v>6.9580500000000001</v>
      </c>
      <c r="J5" s="54">
        <v>1346.7729999999999</v>
      </c>
      <c r="K5" s="55">
        <v>219.69300000000001</v>
      </c>
      <c r="L5" s="69"/>
    </row>
    <row r="6" spans="1:12" ht="21.75" thickTop="1" thickBot="1" x14ac:dyDescent="0.7">
      <c r="A6" s="92">
        <v>0.02</v>
      </c>
      <c r="B6" s="95">
        <f t="shared" si="2"/>
        <v>4.5829806485364472E-2</v>
      </c>
      <c r="C6" s="94">
        <v>109.68504059995139</v>
      </c>
      <c r="D6" s="90">
        <f t="shared" si="0"/>
        <v>1741.5326464438499</v>
      </c>
      <c r="E6" s="90">
        <f t="shared" si="1"/>
        <v>739.96872150114552</v>
      </c>
      <c r="F6" s="93">
        <f t="shared" si="3"/>
        <v>0</v>
      </c>
      <c r="H6" s="6"/>
      <c r="I6" s="6"/>
      <c r="J6" s="69"/>
      <c r="K6" s="69"/>
      <c r="L6" s="69"/>
    </row>
    <row r="7" spans="1:12" ht="21.4" thickTop="1" x14ac:dyDescent="0.65">
      <c r="A7" s="92">
        <v>0.03</v>
      </c>
      <c r="B7" s="95">
        <f t="shared" si="2"/>
        <v>6.7940198739404933E-2</v>
      </c>
      <c r="C7" s="94">
        <v>109.22428647736747</v>
      </c>
      <c r="D7" s="90">
        <f t="shared" si="0"/>
        <v>1721.1517013982584</v>
      </c>
      <c r="E7" s="90">
        <f t="shared" si="1"/>
        <v>730.27365871964162</v>
      </c>
      <c r="F7" s="93">
        <f t="shared" si="3"/>
        <v>0</v>
      </c>
      <c r="H7" s="125" t="s">
        <v>86</v>
      </c>
      <c r="I7" s="127"/>
    </row>
    <row r="8" spans="1:12" ht="21" x14ac:dyDescent="0.65">
      <c r="A8" s="92">
        <v>0.04</v>
      </c>
      <c r="B8" s="95">
        <f t="shared" si="2"/>
        <v>8.9535536659826734E-2</v>
      </c>
      <c r="C8" s="94">
        <v>108.76862065606146</v>
      </c>
      <c r="D8" s="90">
        <f t="shared" si="0"/>
        <v>1701.175196536708</v>
      </c>
      <c r="E8" s="90">
        <f t="shared" si="1"/>
        <v>720.7843668109698</v>
      </c>
      <c r="F8" s="93">
        <f t="shared" si="3"/>
        <v>0</v>
      </c>
      <c r="H8" s="50" t="s">
        <v>26</v>
      </c>
      <c r="I8" s="49" t="s">
        <v>25</v>
      </c>
    </row>
    <row r="9" spans="1:12" ht="21" x14ac:dyDescent="0.65">
      <c r="A9" s="92">
        <v>0.05</v>
      </c>
      <c r="B9" s="95">
        <f t="shared" si="2"/>
        <v>0.11063108520264195</v>
      </c>
      <c r="C9" s="94">
        <v>108.31795843488221</v>
      </c>
      <c r="D9" s="90">
        <f t="shared" si="0"/>
        <v>1681.5924950801575</v>
      </c>
      <c r="E9" s="90">
        <f t="shared" si="1"/>
        <v>711.49513183788679</v>
      </c>
      <c r="F9" s="93">
        <f t="shared" si="3"/>
        <v>0</v>
      </c>
      <c r="H9" s="91">
        <v>0</v>
      </c>
      <c r="I9" s="64">
        <v>0</v>
      </c>
    </row>
    <row r="10" spans="1:12" ht="21.4" thickBot="1" x14ac:dyDescent="0.7">
      <c r="A10" s="92">
        <v>0.06</v>
      </c>
      <c r="B10" s="95">
        <f t="shared" si="2"/>
        <v>0.13124157576548001</v>
      </c>
      <c r="C10" s="94">
        <v>107.87221674690446</v>
      </c>
      <c r="D10" s="90">
        <f t="shared" si="0"/>
        <v>1662.3932930294134</v>
      </c>
      <c r="E10" s="90">
        <f t="shared" si="1"/>
        <v>702.40042810450529</v>
      </c>
      <c r="F10" s="93">
        <f t="shared" si="3"/>
        <v>0</v>
      </c>
      <c r="H10" s="96">
        <v>1</v>
      </c>
      <c r="I10" s="65">
        <v>1</v>
      </c>
    </row>
    <row r="11" spans="1:12" ht="21.4" thickTop="1" x14ac:dyDescent="0.65">
      <c r="A11" s="92">
        <v>7.0000000000000007E-2</v>
      </c>
      <c r="B11" s="95">
        <f t="shared" si="2"/>
        <v>0.1513812270185394</v>
      </c>
      <c r="C11" s="94">
        <v>107.43131413180475</v>
      </c>
      <c r="D11" s="90">
        <f t="shared" si="0"/>
        <v>1643.5676076298562</v>
      </c>
      <c r="E11" s="90">
        <f t="shared" si="1"/>
        <v>693.4949112536666</v>
      </c>
      <c r="F11" s="93">
        <f t="shared" si="3"/>
        <v>0</v>
      </c>
      <c r="J11" s="6"/>
      <c r="K11" s="6"/>
      <c r="L11" s="6"/>
    </row>
    <row r="12" spans="1:12" ht="21" x14ac:dyDescent="0.65">
      <c r="A12" s="92">
        <v>0.08</v>
      </c>
      <c r="B12" s="95">
        <f t="shared" si="2"/>
        <v>0.17106376486842934</v>
      </c>
      <c r="C12" s="94">
        <v>106.99517070816007</v>
      </c>
      <c r="D12" s="90">
        <f t="shared" si="0"/>
        <v>1625.1057662500789</v>
      </c>
      <c r="E12" s="90">
        <f t="shared" si="1"/>
        <v>684.77341163042888</v>
      </c>
      <c r="F12" s="93">
        <f t="shared" si="3"/>
        <v>9.0949470177292824E-13</v>
      </c>
      <c r="H12" s="98" t="s">
        <v>105</v>
      </c>
      <c r="J12" s="69"/>
      <c r="K12" s="6"/>
    </row>
    <row r="13" spans="1:12" ht="21" x14ac:dyDescent="0.65">
      <c r="A13" s="92">
        <v>0.09</v>
      </c>
      <c r="B13" s="95">
        <f t="shared" si="2"/>
        <v>0.19030244159139276</v>
      </c>
      <c r="C13" s="94">
        <v>106.56370814572331</v>
      </c>
      <c r="D13" s="90">
        <f t="shared" si="0"/>
        <v>1606.9983956606502</v>
      </c>
      <c r="E13" s="90">
        <f t="shared" si="1"/>
        <v>676.23092790169483</v>
      </c>
      <c r="F13" s="93">
        <f t="shared" si="3"/>
        <v>9.0949470177292824E-13</v>
      </c>
      <c r="H13" s="98" t="s">
        <v>106</v>
      </c>
      <c r="J13" s="69"/>
      <c r="K13" s="69"/>
    </row>
    <row r="14" spans="1:12" ht="21" x14ac:dyDescent="0.65">
      <c r="A14" s="92">
        <v>0.1</v>
      </c>
      <c r="B14" s="95">
        <f t="shared" si="2"/>
        <v>0.20911005417098408</v>
      </c>
      <c r="C14" s="94">
        <v>106.1368496377237</v>
      </c>
      <c r="D14" s="90">
        <f t="shared" si="0"/>
        <v>1589.2364116994788</v>
      </c>
      <c r="E14" s="90">
        <f t="shared" si="1"/>
        <v>667.86262092228083</v>
      </c>
      <c r="F14" s="93">
        <f t="shared" si="3"/>
        <v>0</v>
      </c>
      <c r="H14" s="98" t="s">
        <v>107</v>
      </c>
      <c r="J14" s="69"/>
      <c r="K14" s="69"/>
    </row>
    <row r="15" spans="1:12" ht="25.5" x14ac:dyDescent="0.85">
      <c r="A15" s="92">
        <v>0.11</v>
      </c>
      <c r="B15" s="95">
        <f t="shared" si="2"/>
        <v>0.22749896187389121</v>
      </c>
      <c r="C15" s="94">
        <v>105.71451987323739</v>
      </c>
      <c r="D15" s="90">
        <f t="shared" si="0"/>
        <v>1571.8110093105211</v>
      </c>
      <c r="E15" s="90">
        <f t="shared" si="1"/>
        <v>659.66380783802617</v>
      </c>
      <c r="F15" s="93">
        <f t="shared" si="3"/>
        <v>0</v>
      </c>
      <c r="H15" s="99" t="s">
        <v>115</v>
      </c>
      <c r="I15" s="6"/>
      <c r="J15" s="69"/>
      <c r="K15" s="69"/>
    </row>
    <row r="16" spans="1:12" ht="21" x14ac:dyDescent="0.65">
      <c r="A16" s="92">
        <v>0.12</v>
      </c>
      <c r="B16" s="95">
        <f t="shared" si="2"/>
        <v>0.2454811030962579</v>
      </c>
      <c r="C16" s="94">
        <v>105.29664500966717</v>
      </c>
      <c r="D16" s="90">
        <f t="shared" si="0"/>
        <v>1554.7136529429667</v>
      </c>
      <c r="E16" s="90">
        <f t="shared" si="1"/>
        <v>651.62995641686882</v>
      </c>
      <c r="F16" s="93">
        <f t="shared" si="3"/>
        <v>0</v>
      </c>
      <c r="H16" s="99" t="s">
        <v>108</v>
      </c>
    </row>
    <row r="17" spans="1:16" ht="25.5" x14ac:dyDescent="0.85">
      <c r="A17" s="92">
        <v>0.13</v>
      </c>
      <c r="B17" s="95">
        <f t="shared" si="2"/>
        <v>0.26306801151155551</v>
      </c>
      <c r="C17" s="94">
        <v>104.88315264536996</v>
      </c>
      <c r="D17" s="90">
        <f t="shared" si="0"/>
        <v>1537.9360672983246</v>
      </c>
      <c r="E17" s="90">
        <f t="shared" si="1"/>
        <v>643.75667959910106</v>
      </c>
      <c r="F17" s="93">
        <f t="shared" si="3"/>
        <v>0</v>
      </c>
      <c r="H17" s="99" t="s">
        <v>116</v>
      </c>
    </row>
    <row r="18" spans="1:16" ht="21" x14ac:dyDescent="0.65">
      <c r="A18" s="92">
        <v>0.14000000000000001</v>
      </c>
      <c r="B18" s="95">
        <f t="shared" si="2"/>
        <v>0.28027083154980181</v>
      </c>
      <c r="C18" s="94">
        <v>104.4739717924634</v>
      </c>
      <c r="D18" s="90">
        <f t="shared" si="0"/>
        <v>1521.4702284132097</v>
      </c>
      <c r="E18" s="90">
        <f t="shared" si="1"/>
        <v>636.03973025831408</v>
      </c>
      <c r="F18" s="93">
        <f t="shared" si="3"/>
        <v>0</v>
      </c>
      <c r="H18" s="99" t="s">
        <v>109</v>
      </c>
    </row>
    <row r="19" spans="1:16" ht="21" x14ac:dyDescent="0.65">
      <c r="A19" s="92">
        <v>0.15</v>
      </c>
      <c r="B19" s="95">
        <f t="shared" si="2"/>
        <v>0.29710033323669066</v>
      </c>
      <c r="C19" s="94">
        <v>104.06903284984273</v>
      </c>
      <c r="D19" s="90">
        <f t="shared" si="0"/>
        <v>1505.3083550658994</v>
      </c>
      <c r="E19" s="90">
        <f t="shared" si="1"/>
        <v>628.47499616484083</v>
      </c>
      <c r="F19" s="93">
        <f t="shared" si="3"/>
        <v>0</v>
      </c>
      <c r="H19" s="99"/>
    </row>
    <row r="20" spans="1:16" ht="21" x14ac:dyDescent="0.65">
      <c r="A20" s="92">
        <v>0.16</v>
      </c>
      <c r="B20" s="95">
        <f t="shared" si="2"/>
        <v>0.31356692642003381</v>
      </c>
      <c r="C20" s="94">
        <v>103.66826757643446</v>
      </c>
      <c r="D20" s="90">
        <f t="shared" si="0"/>
        <v>1489.4429004951605</v>
      </c>
      <c r="E20" s="90">
        <f t="shared" si="1"/>
        <v>621.05849514377746</v>
      </c>
      <c r="F20" s="93">
        <f t="shared" si="3"/>
        <v>-1.2505552149377763E-12</v>
      </c>
      <c r="H20" s="98" t="s">
        <v>110</v>
      </c>
    </row>
    <row r="21" spans="1:16" ht="21" x14ac:dyDescent="0.65">
      <c r="A21" s="92">
        <v>0.17</v>
      </c>
      <c r="B21" s="95">
        <f t="shared" si="2"/>
        <v>0.32968067440975624</v>
      </c>
      <c r="C21" s="94">
        <v>103.27160906471067</v>
      </c>
      <c r="D21" s="90">
        <f t="shared" si="0"/>
        <v>1473.8665444200865</v>
      </c>
      <c r="E21" s="90">
        <f t="shared" si="1"/>
        <v>613.78637041998229</v>
      </c>
      <c r="F21" s="93">
        <f t="shared" si="3"/>
        <v>0</v>
      </c>
      <c r="H21" s="98" t="s">
        <v>111</v>
      </c>
    </row>
    <row r="22" spans="1:16" ht="21" x14ac:dyDescent="0.65">
      <c r="A22" s="92">
        <v>0.18</v>
      </c>
      <c r="B22" s="95">
        <f t="shared" si="2"/>
        <v>0.34545130705660959</v>
      </c>
      <c r="C22" s="94">
        <v>102.87899171448592</v>
      </c>
      <c r="D22" s="90">
        <f t="shared" si="0"/>
        <v>1458.5721853501295</v>
      </c>
      <c r="E22" s="90">
        <f t="shared" si="1"/>
        <v>606.65488614265371</v>
      </c>
      <c r="F22" s="93">
        <f t="shared" si="3"/>
        <v>0</v>
      </c>
      <c r="H22" s="98" t="s">
        <v>112</v>
      </c>
    </row>
    <row r="23" spans="1:16" ht="21" x14ac:dyDescent="0.65">
      <c r="A23" s="92">
        <v>0.19</v>
      </c>
      <c r="B23" s="95">
        <f t="shared" si="2"/>
        <v>0.36088823329369307</v>
      </c>
      <c r="C23" s="94">
        <v>102.49035120701588</v>
      </c>
      <c r="D23" s="90">
        <f t="shared" si="0"/>
        <v>1443.5529331747723</v>
      </c>
      <c r="E23" s="90">
        <f t="shared" si="1"/>
        <v>599.66042308246074</v>
      </c>
      <c r="F23" s="93">
        <f t="shared" si="3"/>
        <v>0</v>
      </c>
      <c r="M23" s="6"/>
      <c r="N23" s="6"/>
      <c r="O23" s="6"/>
      <c r="P23" s="6"/>
    </row>
    <row r="24" spans="1:16" ht="21" x14ac:dyDescent="0.65">
      <c r="A24" s="92">
        <v>0.2</v>
      </c>
      <c r="B24" s="95">
        <f t="shared" si="2"/>
        <v>0.37600055316384068</v>
      </c>
      <c r="C24" s="94">
        <v>102.10562447941368</v>
      </c>
      <c r="D24" s="90">
        <f t="shared" si="0"/>
        <v>1428.8021020225947</v>
      </c>
      <c r="E24" s="90">
        <f t="shared" si="1"/>
        <v>592.79947449435031</v>
      </c>
      <c r="F24" s="93">
        <f t="shared" si="3"/>
        <v>0</v>
      </c>
      <c r="P24" s="6"/>
    </row>
    <row r="25" spans="1:16" ht="21" x14ac:dyDescent="0.65">
      <c r="A25" s="92">
        <v>0.21</v>
      </c>
      <c r="B25" s="95">
        <f t="shared" si="2"/>
        <v>0.39079706935498648</v>
      </c>
      <c r="C25" s="94">
        <v>101.72474969939998</v>
      </c>
      <c r="D25" s="90">
        <f t="shared" si="0"/>
        <v>1414.3132033799511</v>
      </c>
      <c r="E25" s="90">
        <f t="shared" si="1"/>
        <v>586.06864213950757</v>
      </c>
      <c r="F25" s="93">
        <f t="shared" si="3"/>
        <v>0</v>
      </c>
      <c r="P25" s="6"/>
    </row>
    <row r="26" spans="1:16" ht="21" x14ac:dyDescent="0.65">
      <c r="A26" s="92">
        <v>0.22</v>
      </c>
      <c r="B26" s="95">
        <f t="shared" si="2"/>
        <v>0.40528629826463386</v>
      </c>
      <c r="C26" s="94">
        <v>101.3476662403983</v>
      </c>
      <c r="D26" s="90">
        <f t="shared" si="0"/>
        <v>1400.079939459644</v>
      </c>
      <c r="E26" s="90">
        <f t="shared" si="1"/>
        <v>579.46463246010012</v>
      </c>
      <c r="F26" s="93">
        <f t="shared" si="3"/>
        <v>0</v>
      </c>
      <c r="P26" s="6"/>
    </row>
    <row r="27" spans="1:16" ht="21" x14ac:dyDescent="0.65">
      <c r="A27" s="92">
        <v>0.23</v>
      </c>
      <c r="B27" s="95">
        <f t="shared" si="2"/>
        <v>0.41947648061366344</v>
      </c>
      <c r="C27" s="94">
        <v>100.97431465698807</v>
      </c>
      <c r="D27" s="90">
        <f t="shared" si="0"/>
        <v>1386.0961968103661</v>
      </c>
      <c r="E27" s="90">
        <f t="shared" si="1"/>
        <v>572.98425290080047</v>
      </c>
      <c r="F27" s="93">
        <f t="shared" si="3"/>
        <v>0</v>
      </c>
      <c r="P27" s="6"/>
    </row>
    <row r="28" spans="1:16" ht="21" x14ac:dyDescent="0.65">
      <c r="A28" s="92">
        <v>0.24</v>
      </c>
      <c r="B28" s="95">
        <f t="shared" si="2"/>
        <v>0.43337559162885175</v>
      </c>
      <c r="C28" s="94">
        <v>100.60463666072332</v>
      </c>
      <c r="D28" s="90">
        <f t="shared" si="0"/>
        <v>1372.3560401580305</v>
      </c>
      <c r="E28" s="90">
        <f t="shared" si="1"/>
        <v>566.62440837114764</v>
      </c>
      <c r="F28" s="93">
        <f t="shared" si="3"/>
        <v>0</v>
      </c>
      <c r="O28" s="6"/>
      <c r="P28" s="6"/>
    </row>
    <row r="29" spans="1:16" ht="21" x14ac:dyDescent="0.65">
      <c r="A29" s="92">
        <v>0.25</v>
      </c>
      <c r="B29" s="95">
        <f t="shared" si="2"/>
        <v>0.44699135081261543</v>
      </c>
      <c r="C29" s="94">
        <v>100.23857509632623</v>
      </c>
      <c r="D29" s="90">
        <f t="shared" si="0"/>
        <v>1358.853706470351</v>
      </c>
      <c r="E29" s="90">
        <f t="shared" si="1"/>
        <v>560.38209784321657</v>
      </c>
      <c r="F29" s="93">
        <f t="shared" si="3"/>
        <v>0</v>
      </c>
      <c r="O29" s="6"/>
      <c r="P29" s="6"/>
    </row>
    <row r="30" spans="1:16" ht="21" x14ac:dyDescent="0.65">
      <c r="A30" s="92">
        <v>0.26</v>
      </c>
      <c r="B30" s="95">
        <f t="shared" si="2"/>
        <v>0.46033123131768544</v>
      </c>
      <c r="C30" s="94">
        <v>99.876073918260985</v>
      </c>
      <c r="D30" s="90">
        <f t="shared" si="0"/>
        <v>1345.5835992363113</v>
      </c>
      <c r="E30" s="90">
        <f t="shared" si="1"/>
        <v>554.25441107913434</v>
      </c>
      <c r="F30" s="93">
        <f t="shared" si="3"/>
        <v>0</v>
      </c>
      <c r="O30" s="6"/>
      <c r="P30" s="6"/>
    </row>
    <row r="31" spans="1:16" ht="21" x14ac:dyDescent="0.65">
      <c r="A31" s="92">
        <v>0.27</v>
      </c>
      <c r="B31" s="95">
        <f t="shared" si="2"/>
        <v>0.47340246894369153</v>
      </c>
      <c r="C31" s="94">
        <v>99.517078167694081</v>
      </c>
      <c r="D31" s="90">
        <f t="shared" si="0"/>
        <v>1332.5402829526131</v>
      </c>
      <c r="E31" s="90">
        <f t="shared" si="1"/>
        <v>548.23852548328045</v>
      </c>
      <c r="F31" s="93">
        <f t="shared" si="3"/>
        <v>0</v>
      </c>
      <c r="O31" s="6"/>
      <c r="P31" s="6"/>
    </row>
    <row r="32" spans="1:16" ht="21" x14ac:dyDescent="0.65">
      <c r="A32" s="92">
        <v>0.28000000000000003</v>
      </c>
      <c r="B32" s="95">
        <f t="shared" si="2"/>
        <v>0.48621207077182432</v>
      </c>
      <c r="C32" s="94">
        <v>99.161533949844568</v>
      </c>
      <c r="D32" s="90">
        <f t="shared" si="0"/>
        <v>1319.7184778092374</v>
      </c>
      <c r="E32" s="90">
        <f t="shared" si="1"/>
        <v>542.33170307418527</v>
      </c>
      <c r="F32" s="93">
        <f t="shared" si="3"/>
        <v>0</v>
      </c>
      <c r="O32" s="6"/>
      <c r="P32" s="6"/>
    </row>
    <row r="33" spans="1:16" ht="21" x14ac:dyDescent="0.65">
      <c r="A33" s="92">
        <v>0.28999999999999998</v>
      </c>
      <c r="B33" s="95">
        <f t="shared" si="2"/>
        <v>0.49876682345309936</v>
      </c>
      <c r="C33" s="94">
        <v>98.809388411727497</v>
      </c>
      <c r="D33" s="90">
        <f t="shared" si="0"/>
        <v>1307.1130545667431</v>
      </c>
      <c r="E33" s="90">
        <f t="shared" si="1"/>
        <v>536.53128757133027</v>
      </c>
      <c r="F33" s="93">
        <f t="shared" si="3"/>
        <v>0</v>
      </c>
      <c r="O33" s="6"/>
      <c r="P33" s="6"/>
    </row>
    <row r="34" spans="1:16" ht="21" x14ac:dyDescent="0.65">
      <c r="A34" s="92">
        <v>0.3</v>
      </c>
      <c r="B34" s="95">
        <f t="shared" si="2"/>
        <v>0.51107330116502048</v>
      </c>
      <c r="C34" s="94">
        <v>98.460589720292276</v>
      </c>
      <c r="D34" s="90">
        <f t="shared" si="0"/>
        <v>1294.719029618052</v>
      </c>
      <c r="E34" s="90">
        <f t="shared" si="1"/>
        <v>530.83470159226397</v>
      </c>
      <c r="F34" s="93">
        <f t="shared" si="3"/>
        <v>0</v>
      </c>
      <c r="O34" s="6"/>
      <c r="P34" s="6"/>
    </row>
    <row r="35" spans="1:16" ht="21" x14ac:dyDescent="0.65">
      <c r="A35" s="92">
        <v>0.31</v>
      </c>
      <c r="B35" s="95">
        <f t="shared" si="2"/>
        <v>0.52313787325082395</v>
      </c>
      <c r="C35" s="94">
        <v>98.115087040957491</v>
      </c>
      <c r="D35" s="90">
        <f t="shared" si="0"/>
        <v>1282.5315602278263</v>
      </c>
      <c r="E35" s="90">
        <f t="shared" si="1"/>
        <v>525.23944395561455</v>
      </c>
      <c r="F35" s="93">
        <f t="shared" si="3"/>
        <v>0</v>
      </c>
      <c r="O35" s="6"/>
      <c r="P35" s="6"/>
    </row>
    <row r="36" spans="1:16" ht="21" x14ac:dyDescent="0.65">
      <c r="A36" s="92">
        <v>0.32</v>
      </c>
      <c r="B36" s="95">
        <f t="shared" si="2"/>
        <v>0.53496671155483899</v>
      </c>
      <c r="C36" s="94">
        <v>97.772830516542186</v>
      </c>
      <c r="D36" s="90">
        <f t="shared" ref="D36:D67" si="4">10^($I$4-$J$4/(C36+$K$4))</f>
        <v>1270.5459399427425</v>
      </c>
      <c r="E36" s="90">
        <f t="shared" ref="E36:E67" si="5">10^($I$5-$J$5/(C36+$K$5))</f>
        <v>519.74308708576871</v>
      </c>
      <c r="F36" s="93">
        <f t="shared" si="3"/>
        <v>0</v>
      </c>
      <c r="O36" s="6"/>
      <c r="P36" s="6"/>
    </row>
    <row r="37" spans="1:16" ht="21" x14ac:dyDescent="0.65">
      <c r="A37" s="92">
        <v>0.33</v>
      </c>
      <c r="B37" s="95">
        <f t="shared" si="2"/>
        <v>0.54656579746690803</v>
      </c>
      <c r="C37" s="94">
        <v>97.433771246593309</v>
      </c>
      <c r="D37" s="90">
        <f t="shared" si="4"/>
        <v>1258.7575941662124</v>
      </c>
      <c r="E37" s="90">
        <f t="shared" si="5"/>
        <v>514.34327451514832</v>
      </c>
      <c r="F37" s="93">
        <f t="shared" si="3"/>
        <v>0</v>
      </c>
      <c r="O37" s="6"/>
      <c r="P37" s="6"/>
    </row>
    <row r="38" spans="1:16" ht="21" x14ac:dyDescent="0.65">
      <c r="A38" s="92">
        <v>0.34</v>
      </c>
      <c r="B38" s="95">
        <f t="shared" si="2"/>
        <v>0.55794092868825662</v>
      </c>
      <c r="C38" s="94">
        <v>97.097861267108129</v>
      </c>
      <c r="D38" s="90">
        <f t="shared" si="4"/>
        <v>1247.1620758913971</v>
      </c>
      <c r="E38" s="90">
        <f t="shared" si="5"/>
        <v>509.03771848019051</v>
      </c>
      <c r="F38" s="93">
        <f t="shared" si="3"/>
        <v>0</v>
      </c>
      <c r="O38" s="6"/>
      <c r="P38" s="6"/>
    </row>
    <row r="39" spans="1:16" ht="21" x14ac:dyDescent="0.65">
      <c r="A39" s="92">
        <v>0.35</v>
      </c>
      <c r="B39" s="95">
        <f t="shared" si="2"/>
        <v>0.56909772573061956</v>
      </c>
      <c r="C39" s="94">
        <v>96.765053530649638</v>
      </c>
      <c r="D39" s="90">
        <f t="shared" si="4"/>
        <v>1235.7550615864884</v>
      </c>
      <c r="E39" s="90">
        <f t="shared" si="5"/>
        <v>503.8241976072751</v>
      </c>
      <c r="F39" s="93">
        <f t="shared" si="3"/>
        <v>0</v>
      </c>
      <c r="O39" s="6"/>
      <c r="P39" s="6"/>
    </row>
    <row r="40" spans="1:16" ht="21" x14ac:dyDescent="0.65">
      <c r="A40" s="92">
        <v>0.36</v>
      </c>
      <c r="B40" s="95">
        <f t="shared" si="2"/>
        <v>0.58004163815996568</v>
      </c>
      <c r="C40" s="94">
        <v>96.43530188685358</v>
      </c>
      <c r="D40" s="90">
        <f t="shared" si="4"/>
        <v>1224.5323472265943</v>
      </c>
      <c r="E40" s="90">
        <f t="shared" si="5"/>
        <v>498.70055468504063</v>
      </c>
      <c r="F40" s="93">
        <f t="shared" si="3"/>
        <v>0</v>
      </c>
      <c r="O40" s="6"/>
      <c r="P40" s="6"/>
    </row>
    <row r="41" spans="1:16" ht="21" x14ac:dyDescent="0.65">
      <c r="A41" s="92">
        <v>0.37</v>
      </c>
      <c r="B41" s="95">
        <f t="shared" si="2"/>
        <v>0.59077795059559224</v>
      </c>
      <c r="C41" s="94">
        <v>96.108561063323009</v>
      </c>
      <c r="D41" s="90">
        <f t="shared" si="4"/>
        <v>1213.4898444666219</v>
      </c>
      <c r="E41" s="90">
        <f t="shared" si="5"/>
        <v>493.66469451960342</v>
      </c>
      <c r="F41" s="93">
        <f t="shared" si="3"/>
        <v>0</v>
      </c>
      <c r="O41" s="6"/>
      <c r="P41" s="6"/>
    </row>
    <row r="42" spans="1:16" ht="21" x14ac:dyDescent="0.65">
      <c r="A42" s="92">
        <v>0.38</v>
      </c>
      <c r="B42" s="95">
        <f t="shared" si="2"/>
        <v>0.60131178847495026</v>
      </c>
      <c r="C42" s="94">
        <v>95.784786646908202</v>
      </c>
      <c r="D42" s="90">
        <f t="shared" si="4"/>
        <v>1202.6235769499006</v>
      </c>
      <c r="E42" s="90">
        <f t="shared" si="5"/>
        <v>488.71458186941578</v>
      </c>
      <c r="F42" s="93">
        <f t="shared" si="3"/>
        <v>0</v>
      </c>
      <c r="H42" s="69"/>
      <c r="I42" s="69"/>
      <c r="J42" s="69"/>
      <c r="K42" s="69"/>
      <c r="L42" s="69"/>
      <c r="M42" s="6"/>
      <c r="N42" s="6"/>
      <c r="O42" s="6"/>
      <c r="P42" s="6"/>
    </row>
    <row r="43" spans="1:16" ht="21" x14ac:dyDescent="0.65">
      <c r="A43" s="92">
        <v>0.39</v>
      </c>
      <c r="B43" s="95">
        <f t="shared" si="2"/>
        <v>0.61164812359406939</v>
      </c>
      <c r="C43" s="94">
        <v>95.463935065367949</v>
      </c>
      <c r="D43" s="90">
        <f t="shared" si="4"/>
        <v>1191.9296767474173</v>
      </c>
      <c r="E43" s="90">
        <f t="shared" si="5"/>
        <v>483.84823945656996</v>
      </c>
      <c r="F43" s="93">
        <f t="shared" si="3"/>
        <v>0</v>
      </c>
      <c r="H43" s="69"/>
      <c r="I43" s="69"/>
      <c r="J43" s="69"/>
      <c r="K43" s="69"/>
      <c r="L43" s="69"/>
      <c r="M43" s="6"/>
      <c r="N43" s="6"/>
      <c r="O43" s="6"/>
      <c r="P43" s="6"/>
    </row>
    <row r="44" spans="1:16" ht="21" x14ac:dyDescent="0.65">
      <c r="A44" s="92">
        <v>0.4</v>
      </c>
      <c r="B44" s="95">
        <f t="shared" si="2"/>
        <v>0.62179177943300612</v>
      </c>
      <c r="C44" s="94">
        <v>95.145963569408025</v>
      </c>
      <c r="D44" s="90">
        <f t="shared" si="4"/>
        <v>1181.4043809227117</v>
      </c>
      <c r="E44" s="90">
        <f t="shared" si="5"/>
        <v>479.06374605152621</v>
      </c>
      <c r="F44" s="93">
        <f t="shared" si="3"/>
        <v>0</v>
      </c>
      <c r="H44" s="69"/>
      <c r="I44" s="69"/>
      <c r="J44" s="69"/>
      <c r="K44" s="69"/>
      <c r="L44" s="69"/>
      <c r="M44" s="6"/>
      <c r="N44" s="6"/>
      <c r="O44" s="6"/>
      <c r="P44" s="6"/>
    </row>
    <row r="45" spans="1:16" ht="21" x14ac:dyDescent="0.65">
      <c r="A45" s="92">
        <v>0.41</v>
      </c>
      <c r="B45" s="95">
        <f t="shared" si="2"/>
        <v>0.63174743627537044</v>
      </c>
      <c r="C45" s="94">
        <v>94.830830215093059</v>
      </c>
      <c r="D45" s="90">
        <f t="shared" si="4"/>
        <v>1171.0440282177599</v>
      </c>
      <c r="E45" s="90">
        <f t="shared" si="5"/>
        <v>474.35923462833682</v>
      </c>
      <c r="F45" s="93">
        <f t="shared" si="3"/>
        <v>0</v>
      </c>
      <c r="H45" s="69"/>
      <c r="I45" s="69"/>
      <c r="J45" s="69"/>
      <c r="K45" s="69"/>
      <c r="L45" s="69"/>
      <c r="M45" s="6"/>
      <c r="N45" s="6"/>
      <c r="O45" s="6"/>
      <c r="P45" s="6"/>
    </row>
    <row r="46" spans="1:16" ht="21" x14ac:dyDescent="0.65">
      <c r="A46" s="92">
        <v>0.42</v>
      </c>
      <c r="B46" s="95">
        <f t="shared" si="2"/>
        <v>0.64151963613051721</v>
      </c>
      <c r="C46" s="94">
        <v>94.518493846626654</v>
      </c>
      <c r="D46" s="90">
        <f t="shared" si="4"/>
        <v>1160.8450558552217</v>
      </c>
      <c r="E46" s="90">
        <f t="shared" si="5"/>
        <v>469.73289058759667</v>
      </c>
      <c r="F46" s="93">
        <f t="shared" si="3"/>
        <v>0</v>
      </c>
      <c r="H46" s="69"/>
      <c r="I46" s="69"/>
      <c r="J46" s="69"/>
      <c r="K46" s="69"/>
      <c r="L46" s="69"/>
      <c r="M46" s="6"/>
      <c r="N46" s="6"/>
      <c r="O46" s="6"/>
      <c r="P46" s="6"/>
    </row>
    <row r="47" spans="1:16" ht="21" x14ac:dyDescent="0.65">
      <c r="A47" s="92">
        <v>0.43</v>
      </c>
      <c r="B47" s="95">
        <f t="shared" si="2"/>
        <v>0.65111278746669554</v>
      </c>
      <c r="C47" s="94">
        <v>94.208914079495642</v>
      </c>
      <c r="D47" s="90">
        <f t="shared" si="4"/>
        <v>1150.8039964527643</v>
      </c>
      <c r="E47" s="90">
        <f t="shared" si="5"/>
        <v>465.18295004440586</v>
      </c>
      <c r="F47" s="93">
        <f t="shared" si="3"/>
        <v>0</v>
      </c>
      <c r="H47" s="69"/>
      <c r="I47" s="69"/>
      <c r="J47" s="69"/>
      <c r="K47" s="69"/>
      <c r="L47" s="69"/>
      <c r="M47" s="6"/>
      <c r="N47" s="6"/>
      <c r="O47" s="6"/>
      <c r="P47" s="6"/>
    </row>
    <row r="48" spans="1:16" ht="21" x14ac:dyDescent="0.65">
      <c r="A48" s="92">
        <v>0.44</v>
      </c>
      <c r="B48" s="95">
        <f t="shared" si="2"/>
        <v>0.66053116976297988</v>
      </c>
      <c r="C48" s="94">
        <v>93.902051283972497</v>
      </c>
      <c r="D48" s="90">
        <f t="shared" si="4"/>
        <v>1140.9174750451471</v>
      </c>
      <c r="E48" s="90">
        <f t="shared" si="5"/>
        <v>460.70769817881308</v>
      </c>
      <c r="F48" s="93">
        <f t="shared" si="3"/>
        <v>0</v>
      </c>
      <c r="H48" s="69"/>
      <c r="I48" s="69"/>
      <c r="J48" s="69"/>
      <c r="K48" s="69"/>
      <c r="L48" s="69"/>
      <c r="M48" s="6"/>
      <c r="N48" s="6"/>
      <c r="O48" s="6"/>
      <c r="P48" s="6"/>
    </row>
    <row r="49" spans="1:16" ht="21" x14ac:dyDescent="0.65">
      <c r="A49" s="92">
        <v>0.45</v>
      </c>
      <c r="B49" s="95">
        <f t="shared" si="2"/>
        <v>0.66977893788757892</v>
      </c>
      <c r="C49" s="94">
        <v>93.597866568971753</v>
      </c>
      <c r="D49" s="90">
        <f t="shared" si="4"/>
        <v>1131.1822062101332</v>
      </c>
      <c r="E49" s="90">
        <f t="shared" si="5"/>
        <v>456.30546764625529</v>
      </c>
      <c r="F49" s="93">
        <f t="shared" si="3"/>
        <v>0</v>
      </c>
      <c r="H49" s="69"/>
      <c r="I49" s="69"/>
      <c r="J49" s="69"/>
      <c r="K49" s="69"/>
      <c r="L49" s="69"/>
      <c r="M49" s="6"/>
      <c r="N49" s="6"/>
      <c r="O49" s="6"/>
      <c r="P49" s="6"/>
    </row>
    <row r="50" spans="1:16" ht="21" x14ac:dyDescent="0.65">
      <c r="A50" s="92">
        <v>0.46</v>
      </c>
      <c r="B50" s="95">
        <f t="shared" si="2"/>
        <v>0.67886012630968184</v>
      </c>
      <c r="C50" s="94">
        <v>93.296321766254408</v>
      </c>
      <c r="D50" s="90">
        <f t="shared" si="4"/>
        <v>1121.5949912942569</v>
      </c>
      <c r="E50" s="90">
        <f t="shared" si="5"/>
        <v>451.97463704563387</v>
      </c>
      <c r="F50" s="93">
        <f t="shared" si="3"/>
        <v>0</v>
      </c>
      <c r="H50" s="69"/>
      <c r="I50" s="69"/>
      <c r="J50" s="69"/>
      <c r="K50" s="69"/>
      <c r="L50" s="69"/>
      <c r="M50" s="6"/>
      <c r="N50" s="6"/>
      <c r="O50" s="6"/>
      <c r="P50" s="6"/>
    </row>
    <row r="51" spans="1:16" ht="21" x14ac:dyDescent="0.65">
      <c r="A51" s="92">
        <v>0.47</v>
      </c>
      <c r="B51" s="95">
        <f t="shared" si="2"/>
        <v>0.68777865315175035</v>
      </c>
      <c r="C51" s="94">
        <v>92.997379414974972</v>
      </c>
      <c r="D51" s="90">
        <f t="shared" si="4"/>
        <v>1112.1527157347452</v>
      </c>
      <c r="E51" s="90">
        <f t="shared" si="5"/>
        <v>447.71362944277291</v>
      </c>
      <c r="F51" s="93">
        <f t="shared" si="3"/>
        <v>0</v>
      </c>
      <c r="H51" s="69"/>
      <c r="I51" s="69"/>
      <c r="J51" s="69"/>
      <c r="K51" s="69"/>
      <c r="L51" s="69"/>
      <c r="M51" s="6"/>
      <c r="N51" s="6"/>
      <c r="O51" s="6"/>
      <c r="P51" s="6"/>
    </row>
    <row r="52" spans="1:16" ht="21" x14ac:dyDescent="0.65">
      <c r="A52" s="92">
        <v>0.48</v>
      </c>
      <c r="B52" s="95">
        <f t="shared" si="2"/>
        <v>0.6965383240888392</v>
      </c>
      <c r="C52" s="94">
        <v>92.701002746565692</v>
      </c>
      <c r="D52" s="90">
        <f t="shared" si="4"/>
        <v>1102.8523464739956</v>
      </c>
      <c r="E52" s="90">
        <f t="shared" si="5"/>
        <v>443.52091094708163</v>
      </c>
      <c r="F52" s="93">
        <f t="shared" si="3"/>
        <v>0</v>
      </c>
      <c r="H52" s="69"/>
      <c r="I52" s="69"/>
      <c r="J52" s="69"/>
      <c r="K52" s="69"/>
      <c r="L52" s="69"/>
      <c r="M52" s="6"/>
      <c r="N52" s="6"/>
      <c r="O52" s="6"/>
      <c r="P52" s="6"/>
    </row>
    <row r="53" spans="1:16" ht="21" x14ac:dyDescent="0.65">
      <c r="A53" s="92">
        <v>0.49</v>
      </c>
      <c r="B53" s="95">
        <f t="shared" si="2"/>
        <v>0.7051428361012344</v>
      </c>
      <c r="C53" s="94">
        <v>92.407155669951848</v>
      </c>
      <c r="D53" s="90">
        <f t="shared" si="4"/>
        <v>1093.6909294631391</v>
      </c>
      <c r="E53" s="90">
        <f t="shared" si="5"/>
        <v>439.39498933933578</v>
      </c>
      <c r="F53" s="93">
        <f t="shared" si="3"/>
        <v>0</v>
      </c>
      <c r="H53" s="69"/>
      <c r="I53" s="69"/>
      <c r="J53" s="69"/>
      <c r="K53" s="69"/>
      <c r="L53" s="69"/>
      <c r="M53" s="6"/>
      <c r="N53" s="6"/>
      <c r="O53" s="6"/>
      <c r="P53" s="6"/>
    </row>
    <row r="54" spans="1:16" ht="21" x14ac:dyDescent="0.65">
      <c r="A54" s="92">
        <v>0.5</v>
      </c>
      <c r="B54" s="95">
        <f t="shared" si="2"/>
        <v>0.7135957810864505</v>
      </c>
      <c r="C54" s="94">
        <v>92.115802757093192</v>
      </c>
      <c r="D54" s="90">
        <f t="shared" si="4"/>
        <v>1084.6655872514048</v>
      </c>
      <c r="E54" s="90">
        <f t="shared" si="5"/>
        <v>435.33441274859467</v>
      </c>
      <c r="F54" s="93">
        <f t="shared" si="3"/>
        <v>0</v>
      </c>
      <c r="H54" s="69"/>
      <c r="I54" s="69"/>
      <c r="J54" s="69"/>
      <c r="K54" s="69"/>
      <c r="L54" s="69"/>
      <c r="M54" s="6"/>
      <c r="N54" s="6"/>
      <c r="O54" s="6"/>
      <c r="P54" s="6"/>
    </row>
    <row r="55" spans="1:16" ht="21" x14ac:dyDescent="0.65">
      <c r="A55" s="92">
        <v>0.51</v>
      </c>
      <c r="B55" s="95">
        <f t="shared" si="2"/>
        <v>0.72190064933631404</v>
      </c>
      <c r="C55" s="94">
        <v>91.826909228844812</v>
      </c>
      <c r="D55" s="90">
        <f t="shared" si="4"/>
        <v>1075.7735166580367</v>
      </c>
      <c r="E55" s="90">
        <f t="shared" si="5"/>
        <v>431.33776837632985</v>
      </c>
      <c r="F55" s="93">
        <f t="shared" si="3"/>
        <v>0</v>
      </c>
      <c r="H55" s="69"/>
      <c r="I55" s="69"/>
      <c r="J55" s="69"/>
      <c r="K55" s="69"/>
      <c r="L55" s="69"/>
      <c r="M55" s="6"/>
      <c r="N55" s="6"/>
      <c r="O55" s="6"/>
      <c r="P55" s="6"/>
    </row>
    <row r="56" spans="1:16" ht="21" x14ac:dyDescent="0.65">
      <c r="A56" s="92">
        <v>0.52</v>
      </c>
      <c r="B56" s="95">
        <f t="shared" si="2"/>
        <v>0.73006083288467694</v>
      </c>
      <c r="C56" s="94">
        <v>91.540440941132019</v>
      </c>
      <c r="D56" s="90">
        <f t="shared" si="4"/>
        <v>1067.0119865237584</v>
      </c>
      <c r="E56" s="90">
        <f t="shared" si="5"/>
        <v>427.40368126592682</v>
      </c>
      <c r="F56" s="93">
        <f t="shared" si="3"/>
        <v>0</v>
      </c>
      <c r="H56" s="69"/>
      <c r="I56" s="69"/>
      <c r="J56" s="69"/>
      <c r="K56" s="69"/>
      <c r="L56" s="69"/>
      <c r="M56" s="6"/>
      <c r="N56" s="6"/>
      <c r="O56" s="6"/>
      <c r="P56" s="6"/>
    </row>
    <row r="57" spans="1:16" ht="21" x14ac:dyDescent="0.65">
      <c r="A57" s="92">
        <v>0.53</v>
      </c>
      <c r="B57" s="95">
        <f t="shared" si="2"/>
        <v>0.73807962873100619</v>
      </c>
      <c r="C57" s="94">
        <v>91.256364371433747</v>
      </c>
      <c r="D57" s="90">
        <f t="shared" si="4"/>
        <v>1058.3783355388014</v>
      </c>
      <c r="E57" s="90">
        <f t="shared" si="5"/>
        <v>423.53081311581951</v>
      </c>
      <c r="F57" s="93">
        <f t="shared" si="3"/>
        <v>0</v>
      </c>
      <c r="H57" s="69"/>
      <c r="I57" s="69"/>
      <c r="J57" s="69"/>
      <c r="K57" s="69"/>
      <c r="L57" s="69"/>
      <c r="M57" s="6"/>
      <c r="N57" s="6"/>
      <c r="O57" s="6"/>
      <c r="P57" s="6"/>
    </row>
    <row r="58" spans="1:16" ht="21" x14ac:dyDescent="0.65">
      <c r="A58" s="92">
        <v>0.54</v>
      </c>
      <c r="B58" s="95">
        <f t="shared" si="2"/>
        <v>0.7459602419448822</v>
      </c>
      <c r="C58" s="94">
        <v>90.974646605567614</v>
      </c>
      <c r="D58" s="90">
        <f t="shared" si="4"/>
        <v>1049.869970144649</v>
      </c>
      <c r="E58" s="90">
        <f t="shared" si="5"/>
        <v>419.71786113454192</v>
      </c>
      <c r="F58" s="93">
        <f t="shared" si="3"/>
        <v>0</v>
      </c>
      <c r="H58" s="69"/>
      <c r="I58" s="69"/>
      <c r="J58" s="69"/>
      <c r="K58" s="69"/>
      <c r="L58" s="69"/>
      <c r="M58" s="6"/>
      <c r="N58" s="6"/>
      <c r="O58" s="6"/>
      <c r="P58" s="6"/>
    </row>
    <row r="59" spans="1:16" ht="21" x14ac:dyDescent="0.65">
      <c r="A59" s="92">
        <v>0.55000000000000004</v>
      </c>
      <c r="B59" s="95">
        <f t="shared" si="2"/>
        <v>0.75370578865625126</v>
      </c>
      <c r="C59" s="94">
        <v>90.695255324771793</v>
      </c>
      <c r="D59" s="90">
        <f t="shared" si="4"/>
        <v>1041.4843625068197</v>
      </c>
      <c r="E59" s="90">
        <f t="shared" si="5"/>
        <v>415.96355693610946</v>
      </c>
      <c r="F59" s="93">
        <f t="shared" si="3"/>
        <v>0</v>
      </c>
      <c r="H59" s="69"/>
      <c r="I59" s="69"/>
      <c r="J59" s="69"/>
      <c r="K59" s="69"/>
      <c r="L59" s="69"/>
      <c r="M59" s="6"/>
      <c r="N59" s="6"/>
      <c r="O59" s="6"/>
      <c r="P59" s="6"/>
    </row>
    <row r="60" spans="1:16" ht="21" x14ac:dyDescent="0.65">
      <c r="A60" s="92">
        <v>0.56000000000000005</v>
      </c>
      <c r="B60" s="95">
        <f t="shared" si="2"/>
        <v>0.76131929893602091</v>
      </c>
      <c r="C60" s="94">
        <v>90.418158793077254</v>
      </c>
      <c r="D60" s="90">
        <f t="shared" si="4"/>
        <v>1033.2190485560282</v>
      </c>
      <c r="E60" s="90">
        <f t="shared" si="5"/>
        <v>412.26666547414493</v>
      </c>
      <c r="F60" s="93">
        <f t="shared" si="3"/>
        <v>0</v>
      </c>
      <c r="H60" s="69"/>
      <c r="I60" s="69"/>
      <c r="J60" s="69"/>
      <c r="K60" s="69"/>
      <c r="L60" s="69"/>
      <c r="M60" s="6"/>
      <c r="N60" s="6"/>
      <c r="O60" s="6"/>
      <c r="P60" s="6"/>
    </row>
    <row r="61" spans="1:16" ht="21" x14ac:dyDescent="0.65">
      <c r="A61" s="92">
        <v>0.56999999999999995</v>
      </c>
      <c r="B61" s="95">
        <f t="shared" si="2"/>
        <v>0.76880371957142501</v>
      </c>
      <c r="C61" s="94">
        <v>90.143325844964977</v>
      </c>
      <c r="D61" s="90">
        <f t="shared" si="4"/>
        <v>1025.0716260952333</v>
      </c>
      <c r="E61" s="90">
        <f t="shared" si="5"/>
        <v>408.62598401329581</v>
      </c>
      <c r="F61" s="93">
        <f t="shared" si="3"/>
        <v>0</v>
      </c>
      <c r="H61" s="69"/>
      <c r="I61" s="69"/>
      <c r="J61" s="69"/>
      <c r="K61" s="69"/>
      <c r="L61" s="69"/>
      <c r="M61" s="6"/>
      <c r="N61" s="6"/>
      <c r="O61" s="6"/>
      <c r="P61" s="6"/>
    </row>
    <row r="62" spans="1:16" ht="21" x14ac:dyDescent="0.65">
      <c r="A62" s="92">
        <v>0.57999999999999996</v>
      </c>
      <c r="B62" s="95">
        <f t="shared" si="2"/>
        <v>0.77616191674036505</v>
      </c>
      <c r="C62" s="94">
        <v>89.870725873301339</v>
      </c>
      <c r="D62" s="90">
        <f t="shared" si="4"/>
        <v>1017.0397529701337</v>
      </c>
      <c r="E62" s="90">
        <f t="shared" si="5"/>
        <v>405.04034113648055</v>
      </c>
      <c r="F62" s="93">
        <f t="shared" si="3"/>
        <v>0</v>
      </c>
      <c r="H62" s="69"/>
      <c r="I62" s="69"/>
      <c r="J62" s="69"/>
      <c r="K62" s="69"/>
      <c r="L62" s="69"/>
      <c r="M62" s="6"/>
      <c r="N62" s="6"/>
      <c r="O62" s="6"/>
      <c r="P62" s="6"/>
    </row>
    <row r="63" spans="1:16" ht="21" x14ac:dyDescent="0.65">
      <c r="A63" s="92">
        <v>0.59</v>
      </c>
      <c r="B63" s="95">
        <f t="shared" si="2"/>
        <v>0.78339667858879225</v>
      </c>
      <c r="C63" s="94">
        <v>89.600328817547805</v>
      </c>
      <c r="D63" s="90">
        <f t="shared" si="4"/>
        <v>1009.1211453008173</v>
      </c>
      <c r="E63" s="90">
        <f t="shared" si="5"/>
        <v>401.50859578662812</v>
      </c>
      <c r="F63" s="93">
        <f t="shared" si="3"/>
        <v>0</v>
      </c>
      <c r="H63" s="69"/>
      <c r="I63" s="69"/>
      <c r="J63" s="69"/>
      <c r="K63" s="69"/>
      <c r="L63" s="69"/>
      <c r="M63" s="6"/>
      <c r="N63" s="6"/>
      <c r="O63" s="6"/>
      <c r="P63" s="6"/>
    </row>
    <row r="64" spans="1:16" ht="21" x14ac:dyDescent="0.65">
      <c r="A64" s="92">
        <v>0.6</v>
      </c>
      <c r="B64" s="95">
        <f t="shared" si="2"/>
        <v>0.79051071771496673</v>
      </c>
      <c r="C64" s="94">
        <v>89.332105152236991</v>
      </c>
      <c r="D64" s="90">
        <f t="shared" si="4"/>
        <v>1001.3135757722912</v>
      </c>
      <c r="E64" s="90">
        <f t="shared" si="5"/>
        <v>398.02963634156532</v>
      </c>
      <c r="F64" s="93">
        <f t="shared" si="3"/>
        <v>0</v>
      </c>
      <c r="H64" s="69"/>
      <c r="I64" s="69"/>
      <c r="J64" s="69"/>
      <c r="K64" s="69"/>
      <c r="L64" s="69"/>
      <c r="M64" s="6"/>
      <c r="N64" s="6"/>
      <c r="O64" s="6"/>
      <c r="P64" s="6"/>
    </row>
    <row r="65" spans="1:16" ht="21" x14ac:dyDescent="0.65">
      <c r="A65" s="92">
        <v>0.61</v>
      </c>
      <c r="B65" s="95">
        <f t="shared" si="2"/>
        <v>0.79750667356431981</v>
      </c>
      <c r="C65" s="94">
        <v>89.066025875711034</v>
      </c>
      <c r="D65" s="90">
        <f t="shared" si="4"/>
        <v>993.61487198177554</v>
      </c>
      <c r="E65" s="90">
        <f t="shared" si="5"/>
        <v>394.6023797208145</v>
      </c>
      <c r="F65" s="93">
        <f t="shared" si="3"/>
        <v>0</v>
      </c>
      <c r="H65" s="69"/>
      <c r="I65" s="69"/>
      <c r="J65" s="69"/>
      <c r="K65" s="69"/>
      <c r="L65" s="69"/>
      <c r="M65" s="6"/>
      <c r="N65" s="6"/>
      <c r="O65" s="6"/>
      <c r="P65" s="6"/>
    </row>
    <row r="66" spans="1:16" ht="21" x14ac:dyDescent="0.65">
      <c r="A66" s="92">
        <v>0.62</v>
      </c>
      <c r="B66" s="95">
        <f t="shared" si="2"/>
        <v>0.80438711473845781</v>
      </c>
      <c r="C66" s="94">
        <v>88.802062499116261</v>
      </c>
      <c r="D66" s="90">
        <f t="shared" si="4"/>
        <v>986.02291484069019</v>
      </c>
      <c r="E66" s="90">
        <f t="shared" si="5"/>
        <v>391.22577052308628</v>
      </c>
      <c r="F66" s="93">
        <f t="shared" si="3"/>
        <v>0</v>
      </c>
      <c r="H66" s="69"/>
      <c r="I66" s="69"/>
      <c r="J66" s="69"/>
      <c r="K66" s="69"/>
      <c r="L66" s="69"/>
      <c r="M66" s="6"/>
      <c r="N66" s="6"/>
      <c r="O66" s="6"/>
      <c r="P66" s="6"/>
    </row>
    <row r="67" spans="1:16" ht="21" x14ac:dyDescent="0.65">
      <c r="A67" s="92">
        <v>0.63</v>
      </c>
      <c r="B67" s="95">
        <f t="shared" si="2"/>
        <v>0.81115454122168185</v>
      </c>
      <c r="C67" s="94">
        <v>88.540187035648131</v>
      </c>
      <c r="D67" s="90">
        <f t="shared" si="4"/>
        <v>978.53563702933047</v>
      </c>
      <c r="E67" s="90">
        <f t="shared" si="5"/>
        <v>387.8987801933016</v>
      </c>
      <c r="F67" s="93">
        <f t="shared" si="3"/>
        <v>0</v>
      </c>
      <c r="H67" s="69"/>
      <c r="I67" s="69"/>
      <c r="J67" s="69"/>
      <c r="K67" s="69"/>
      <c r="L67" s="69"/>
      <c r="M67" s="6"/>
      <c r="N67" s="6"/>
      <c r="O67" s="6"/>
      <c r="P67" s="6"/>
    </row>
    <row r="68" spans="1:16" ht="21" x14ac:dyDescent="0.65">
      <c r="A68" s="92">
        <v>0.64</v>
      </c>
      <c r="B68" s="95">
        <f t="shared" si="2"/>
        <v>0.81781138652829666</v>
      </c>
      <c r="C68" s="94">
        <v>88.280371990041871</v>
      </c>
      <c r="D68" s="90">
        <f t="shared" ref="D68:D99" si="6">10^($I$4-$J$4/(C68+$K$4))</f>
        <v>971.15102150235225</v>
      </c>
      <c r="E68" s="90">
        <f t="shared" ref="E68:E104" si="7">10^($I$5-$J$5/(C68+$K$5))</f>
        <v>384.62040621803794</v>
      </c>
      <c r="F68" s="93">
        <f t="shared" si="3"/>
        <v>-9.0949470177292824E-13</v>
      </c>
      <c r="H68" s="69"/>
      <c r="I68" s="69"/>
      <c r="J68" s="69"/>
      <c r="K68" s="69"/>
      <c r="L68" s="69"/>
      <c r="M68" s="6"/>
      <c r="N68" s="6"/>
      <c r="O68" s="6"/>
      <c r="P68" s="6"/>
    </row>
    <row r="69" spans="1:16" ht="21" x14ac:dyDescent="0.65">
      <c r="A69" s="92">
        <v>0.65</v>
      </c>
      <c r="B69" s="95">
        <f t="shared" ref="B69:B104" si="8">+A69*D69/$E$1</f>
        <v>0.82436001977379592</v>
      </c>
      <c r="C69" s="94">
        <v>88.022590348302472</v>
      </c>
      <c r="D69" s="90">
        <f t="shared" si="6"/>
        <v>963.86710004320753</v>
      </c>
      <c r="E69" s="90">
        <f t="shared" si="7"/>
        <v>381.38967134832916</v>
      </c>
      <c r="F69" s="93">
        <f t="shared" ref="F69:F104" si="9">+A69*D69+(1-A69)*E69-$E$1</f>
        <v>0</v>
      </c>
      <c r="H69" s="69"/>
      <c r="I69" s="69"/>
      <c r="J69" s="69"/>
      <c r="K69" s="69"/>
      <c r="L69" s="69"/>
      <c r="M69" s="6"/>
      <c r="N69" s="6"/>
      <c r="O69" s="6"/>
      <c r="P69" s="6"/>
    </row>
    <row r="70" spans="1:16" ht="21" x14ac:dyDescent="0.65">
      <c r="A70" s="92">
        <v>0.66</v>
      </c>
      <c r="B70" s="95">
        <f t="shared" si="8"/>
        <v>0.83080274767291007</v>
      </c>
      <c r="C70" s="94">
        <v>87.766815567669539</v>
      </c>
      <c r="D70" s="90">
        <f t="shared" si="6"/>
        <v>956.68195186577532</v>
      </c>
      <c r="E70" s="90">
        <f t="shared" si="7"/>
        <v>378.20562284878747</v>
      </c>
      <c r="F70" s="93">
        <f t="shared" si="9"/>
        <v>0</v>
      </c>
      <c r="H70" s="69"/>
      <c r="I70" s="69"/>
      <c r="J70" s="69"/>
      <c r="K70" s="69"/>
      <c r="L70" s="69"/>
      <c r="M70" s="6"/>
      <c r="N70" s="6"/>
      <c r="O70" s="6"/>
      <c r="P70" s="6"/>
    </row>
    <row r="71" spans="1:16" ht="21" x14ac:dyDescent="0.65">
      <c r="A71" s="92">
        <v>0.67</v>
      </c>
      <c r="B71" s="95">
        <f t="shared" si="8"/>
        <v>0.83714181646738595</v>
      </c>
      <c r="C71" s="94">
        <v>87.513021566811204</v>
      </c>
      <c r="D71" s="90">
        <f t="shared" si="6"/>
        <v>949.59370226151236</v>
      </c>
      <c r="E71" s="90">
        <f t="shared" si="7"/>
        <v>375.0673317720794</v>
      </c>
      <c r="F71" s="93">
        <f t="shared" si="9"/>
        <v>0</v>
      </c>
      <c r="H71" s="69"/>
      <c r="I71" s="69"/>
      <c r="J71" s="69"/>
      <c r="K71" s="69"/>
      <c r="L71" s="69"/>
      <c r="M71" s="6"/>
      <c r="N71" s="6"/>
      <c r="O71" s="6"/>
      <c r="P71" s="6"/>
    </row>
    <row r="72" spans="1:16" ht="21" x14ac:dyDescent="0.65">
      <c r="A72" s="92">
        <v>0.68</v>
      </c>
      <c r="B72" s="95">
        <f t="shared" si="8"/>
        <v>0.8433794137861913</v>
      </c>
      <c r="C72" s="94">
        <v>87.261182716242331</v>
      </c>
      <c r="D72" s="90">
        <f t="shared" si="6"/>
        <v>942.60052129044902</v>
      </c>
      <c r="E72" s="90">
        <f t="shared" si="7"/>
        <v>371.97389225779551</v>
      </c>
      <c r="F72" s="93">
        <f t="shared" si="9"/>
        <v>0</v>
      </c>
      <c r="H72" s="69"/>
      <c r="I72" s="69"/>
      <c r="J72" s="69"/>
      <c r="K72" s="69"/>
      <c r="L72" s="69"/>
      <c r="M72" s="6"/>
      <c r="N72" s="6"/>
      <c r="O72" s="6"/>
      <c r="P72" s="6"/>
    </row>
    <row r="73" spans="1:16" ht="21" x14ac:dyDescent="0.65">
      <c r="A73" s="92">
        <v>0.69</v>
      </c>
      <c r="B73" s="95">
        <f t="shared" si="8"/>
        <v>0.8495176704407984</v>
      </c>
      <c r="C73" s="94">
        <v>87.011273828961691</v>
      </c>
      <c r="D73" s="90">
        <f t="shared" si="6"/>
        <v>935.7006225145027</v>
      </c>
      <c r="E73" s="90">
        <f t="shared" si="7"/>
        <v>368.92442085481616</v>
      </c>
      <c r="F73" s="93">
        <f t="shared" si="9"/>
        <v>0</v>
      </c>
      <c r="H73" s="69"/>
      <c r="I73" s="69"/>
      <c r="J73" s="69"/>
      <c r="K73" s="69"/>
      <c r="L73" s="69"/>
      <c r="M73" s="6"/>
      <c r="N73" s="6"/>
      <c r="O73" s="6"/>
      <c r="P73" s="6"/>
    </row>
    <row r="74" spans="1:16" ht="21" x14ac:dyDescent="0.65">
      <c r="A74" s="92">
        <v>0.7</v>
      </c>
      <c r="B74" s="95">
        <f t="shared" si="8"/>
        <v>0.85555866215804011</v>
      </c>
      <c r="C74" s="94">
        <v>86.763270151303203</v>
      </c>
      <c r="D74" s="90">
        <f t="shared" si="6"/>
        <v>928.8922617715865</v>
      </c>
      <c r="E74" s="90">
        <f t="shared" si="7"/>
        <v>365.91805586629982</v>
      </c>
      <c r="F74" s="93">
        <f t="shared" si="9"/>
        <v>0</v>
      </c>
      <c r="H74" s="69"/>
      <c r="I74" s="69"/>
      <c r="J74" s="69"/>
      <c r="K74" s="69"/>
      <c r="L74" s="69"/>
      <c r="M74" s="6"/>
      <c r="N74" s="6"/>
      <c r="O74" s="6"/>
      <c r="P74" s="6"/>
    </row>
    <row r="75" spans="1:16" ht="21" x14ac:dyDescent="0.65">
      <c r="A75" s="92">
        <v>0.71</v>
      </c>
      <c r="B75" s="95">
        <f t="shared" si="8"/>
        <v>0.86150441125292765</v>
      </c>
      <c r="C75" s="94">
        <v>86.517147353996521</v>
      </c>
      <c r="D75" s="90">
        <f t="shared" si="6"/>
        <v>922.17373598904942</v>
      </c>
      <c r="E75" s="90">
        <f t="shared" si="7"/>
        <v>362.95395671646816</v>
      </c>
      <c r="F75" s="93">
        <f t="shared" si="9"/>
        <v>0</v>
      </c>
      <c r="H75" s="69"/>
      <c r="I75" s="69"/>
      <c r="J75" s="69"/>
      <c r="K75" s="69"/>
      <c r="L75" s="69"/>
      <c r="M75" s="6"/>
      <c r="N75" s="6"/>
      <c r="O75" s="6"/>
      <c r="P75" s="6"/>
    </row>
    <row r="76" spans="1:16" ht="21" x14ac:dyDescent="0.65">
      <c r="A76" s="92">
        <v>0.72</v>
      </c>
      <c r="B76" s="95">
        <f t="shared" si="8"/>
        <v>0.86735688824375956</v>
      </c>
      <c r="C76" s="94">
        <v>86.272881523431607</v>
      </c>
      <c r="D76" s="90">
        <f t="shared" si="6"/>
        <v>915.5433820350795</v>
      </c>
      <c r="E76" s="90">
        <f t="shared" si="7"/>
        <v>360.03130333836407</v>
      </c>
      <c r="F76" s="93">
        <f t="shared" si="9"/>
        <v>0</v>
      </c>
      <c r="H76" s="69"/>
      <c r="I76" s="69"/>
      <c r="J76" s="69"/>
      <c r="K76" s="69"/>
      <c r="L76" s="69"/>
      <c r="M76" s="6"/>
      <c r="N76" s="6"/>
      <c r="O76" s="6"/>
      <c r="P76" s="6"/>
    </row>
    <row r="77" spans="1:16" ht="21" x14ac:dyDescent="0.65">
      <c r="A77" s="92">
        <v>0.73</v>
      </c>
      <c r="B77" s="95">
        <f t="shared" si="8"/>
        <v>0.8731180134117128</v>
      </c>
      <c r="C77" s="94">
        <v>86.030449153123641</v>
      </c>
      <c r="D77" s="90">
        <f t="shared" si="6"/>
        <v>908.99957560671476</v>
      </c>
      <c r="E77" s="90">
        <f t="shared" si="7"/>
        <v>357.14929558184434</v>
      </c>
      <c r="F77" s="93">
        <f t="shared" si="9"/>
        <v>0</v>
      </c>
      <c r="H77" s="69"/>
      <c r="I77" s="69"/>
      <c r="J77" s="69"/>
      <c r="K77" s="69"/>
      <c r="L77" s="69"/>
      <c r="M77" s="6"/>
      <c r="N77" s="6"/>
      <c r="O77" s="6"/>
      <c r="P77" s="6"/>
    </row>
    <row r="78" spans="1:16" ht="21" x14ac:dyDescent="0.65">
      <c r="A78" s="92">
        <v>0.74</v>
      </c>
      <c r="B78" s="95">
        <f t="shared" si="8"/>
        <v>0.87878965830701361</v>
      </c>
      <c r="C78" s="94">
        <v>85.789827135372093</v>
      </c>
      <c r="D78" s="90">
        <f t="shared" si="6"/>
        <v>902.54073015314918</v>
      </c>
      <c r="E78" s="90">
        <f t="shared" si="7"/>
        <v>354.30715264103594</v>
      </c>
      <c r="F78" s="93">
        <f t="shared" si="9"/>
        <v>0</v>
      </c>
      <c r="H78" s="69"/>
      <c r="I78" s="69"/>
      <c r="J78" s="69"/>
      <c r="K78" s="69"/>
      <c r="L78" s="69"/>
      <c r="M78" s="6"/>
      <c r="N78" s="6"/>
      <c r="O78" s="6"/>
      <c r="P78" s="6"/>
    </row>
    <row r="79" spans="1:16" ht="21" x14ac:dyDescent="0.65">
      <c r="A79" s="92">
        <v>0.75</v>
      </c>
      <c r="B79" s="95">
        <f t="shared" si="8"/>
        <v>0.88437364720376266</v>
      </c>
      <c r="C79" s="94">
        <v>85.550992753110975</v>
      </c>
      <c r="D79" s="90">
        <f t="shared" si="6"/>
        <v>896.16529583314616</v>
      </c>
      <c r="E79" s="90">
        <f t="shared" si="7"/>
        <v>351.50411250056231</v>
      </c>
      <c r="F79" s="93">
        <f t="shared" si="9"/>
        <v>0</v>
      </c>
      <c r="H79" s="69"/>
      <c r="I79" s="69"/>
      <c r="J79" s="69"/>
      <c r="K79" s="69"/>
      <c r="L79" s="69"/>
      <c r="M79" s="6"/>
      <c r="N79" s="6"/>
      <c r="O79" s="6"/>
      <c r="P79" s="6"/>
    </row>
    <row r="80" spans="1:16" ht="21" x14ac:dyDescent="0.65">
      <c r="A80" s="92">
        <v>0.76</v>
      </c>
      <c r="B80" s="95">
        <f t="shared" si="8"/>
        <v>0.88987175850530653</v>
      </c>
      <c r="C80" s="94">
        <v>85.313923671944735</v>
      </c>
      <c r="D80" s="90">
        <f t="shared" si="6"/>
        <v>889.8717585053065</v>
      </c>
      <c r="E80" s="90">
        <f t="shared" si="7"/>
        <v>348.73943139986312</v>
      </c>
      <c r="F80" s="93">
        <f t="shared" si="9"/>
        <v>0</v>
      </c>
      <c r="H80" s="69"/>
      <c r="I80" s="69"/>
      <c r="J80" s="69"/>
      <c r="K80" s="69"/>
      <c r="L80" s="69"/>
      <c r="M80" s="6"/>
      <c r="N80" s="6"/>
      <c r="O80" s="6"/>
      <c r="P80" s="6"/>
    </row>
    <row r="81" spans="1:16" ht="21" x14ac:dyDescent="0.65">
      <c r="A81" s="92">
        <v>0.77</v>
      </c>
      <c r="B81" s="95">
        <f t="shared" si="8"/>
        <v>0.8952857261020577</v>
      </c>
      <c r="C81" s="94">
        <v>85.078597932366108</v>
      </c>
      <c r="D81" s="90">
        <f t="shared" si="6"/>
        <v>883.6586387500829</v>
      </c>
      <c r="E81" s="90">
        <f t="shared" si="7"/>
        <v>346.01238331493664</v>
      </c>
      <c r="F81" s="93">
        <f t="shared" si="9"/>
        <v>0</v>
      </c>
      <c r="H81" s="69"/>
      <c r="I81" s="69"/>
      <c r="J81" s="69"/>
      <c r="K81" s="69"/>
      <c r="L81" s="69"/>
      <c r="M81" s="6"/>
      <c r="N81" s="6"/>
      <c r="O81" s="6"/>
      <c r="P81" s="6"/>
    </row>
    <row r="82" spans="1:16" ht="21" x14ac:dyDescent="0.65">
      <c r="A82" s="92">
        <v>0.78</v>
      </c>
      <c r="B82" s="95">
        <f t="shared" si="8"/>
        <v>0.90061724068353533</v>
      </c>
      <c r="C82" s="94">
        <v>84.844993942150921</v>
      </c>
      <c r="D82" s="90">
        <f t="shared" si="6"/>
        <v>877.52449092241909</v>
      </c>
      <c r="E82" s="90">
        <f t="shared" si="7"/>
        <v>343.32225945687759</v>
      </c>
      <c r="F82" s="93">
        <f t="shared" si="9"/>
        <v>0</v>
      </c>
      <c r="H82" s="69"/>
      <c r="I82" s="69"/>
      <c r="J82" s="69"/>
      <c r="K82" s="69"/>
      <c r="L82" s="69"/>
      <c r="M82" s="6"/>
      <c r="N82" s="6"/>
      <c r="O82" s="6"/>
      <c r="P82" s="6"/>
    </row>
    <row r="83" spans="1:16" ht="21" x14ac:dyDescent="0.65">
      <c r="A83" s="92">
        <v>0.79</v>
      </c>
      <c r="B83" s="95">
        <f t="shared" si="8"/>
        <v>0.90586795100632689</v>
      </c>
      <c r="C83" s="94">
        <v>84.613090468926615</v>
      </c>
      <c r="D83" s="90">
        <f t="shared" si="6"/>
        <v>871.46790223393475</v>
      </c>
      <c r="E83" s="90">
        <f t="shared" si="7"/>
        <v>340.66836778662855</v>
      </c>
      <c r="F83" s="93">
        <f t="shared" si="9"/>
        <v>0</v>
      </c>
      <c r="H83" s="69"/>
      <c r="I83" s="69"/>
      <c r="J83" s="69"/>
      <c r="K83" s="69"/>
      <c r="L83" s="69"/>
      <c r="M83" s="6"/>
      <c r="N83" s="6"/>
      <c r="O83" s="6"/>
      <c r="P83" s="6"/>
    </row>
    <row r="84" spans="1:16" ht="21" x14ac:dyDescent="0.65">
      <c r="A84" s="92">
        <v>0.8</v>
      </c>
      <c r="B84" s="95">
        <f t="shared" si="8"/>
        <v>0.91103946511965239</v>
      </c>
      <c r="C84" s="94">
        <v>84.382866632909398</v>
      </c>
      <c r="D84" s="90">
        <f t="shared" si="6"/>
        <v>865.48749186366967</v>
      </c>
      <c r="E84" s="90">
        <f t="shared" si="7"/>
        <v>338.05003254532045</v>
      </c>
      <c r="F84" s="93">
        <f t="shared" si="9"/>
        <v>0</v>
      </c>
      <c r="H84" s="69"/>
      <c r="I84" s="69"/>
      <c r="J84" s="69"/>
      <c r="K84" s="69"/>
      <c r="L84" s="69"/>
      <c r="M84" s="6"/>
      <c r="N84" s="6"/>
      <c r="O84" s="6"/>
      <c r="P84" s="6"/>
    </row>
    <row r="85" spans="1:16" ht="21" x14ac:dyDescent="0.65">
      <c r="A85" s="92">
        <v>0.81</v>
      </c>
      <c r="B85" s="95">
        <f t="shared" si="8"/>
        <v>0.91613335155007714</v>
      </c>
      <c r="C85" s="94">
        <v>84.154301899806939</v>
      </c>
      <c r="D85" s="90">
        <f t="shared" si="6"/>
        <v>859.58191009636857</v>
      </c>
      <c r="E85" s="90">
        <f t="shared" si="7"/>
        <v>335.46659379969236</v>
      </c>
      <c r="F85" s="93">
        <f t="shared" si="9"/>
        <v>0</v>
      </c>
      <c r="H85" s="69"/>
      <c r="I85" s="69"/>
      <c r="J85" s="69"/>
      <c r="K85" s="69"/>
      <c r="L85" s="69"/>
      <c r="M85" s="6"/>
      <c r="N85" s="6"/>
      <c r="O85" s="6"/>
      <c r="P85" s="6"/>
    </row>
    <row r="86" spans="1:16" ht="21" x14ac:dyDescent="0.65">
      <c r="A86" s="92">
        <v>0.82</v>
      </c>
      <c r="B86" s="95">
        <f t="shared" si="8"/>
        <v>0.92115114044689195</v>
      </c>
      <c r="C86" s="94">
        <v>83.927376073881661</v>
      </c>
      <c r="D86" s="90">
        <f t="shared" si="6"/>
        <v>853.74983748736327</v>
      </c>
      <c r="E86" s="90">
        <f t="shared" si="7"/>
        <v>332.91740700201291</v>
      </c>
      <c r="F86" s="93">
        <f t="shared" si="9"/>
        <v>0</v>
      </c>
      <c r="H86" s="69"/>
      <c r="I86" s="69"/>
      <c r="J86" s="69"/>
      <c r="K86" s="69"/>
      <c r="L86" s="69"/>
      <c r="M86" s="6"/>
      <c r="N86" s="6"/>
      <c r="O86" s="6"/>
      <c r="P86" s="6"/>
    </row>
    <row r="87" spans="1:16" ht="21" x14ac:dyDescent="0.65">
      <c r="A87" s="92">
        <v>0.83</v>
      </c>
      <c r="B87" s="95">
        <f t="shared" si="8"/>
        <v>0.92609432468962838</v>
      </c>
      <c r="C87" s="94">
        <v>83.702069291171995</v>
      </c>
      <c r="D87" s="90">
        <f t="shared" si="6"/>
        <v>847.98998405315376</v>
      </c>
      <c r="E87" s="90">
        <f t="shared" si="7"/>
        <v>330.4018425640121</v>
      </c>
      <c r="F87" s="93">
        <f t="shared" si="9"/>
        <v>0</v>
      </c>
      <c r="H87" s="69"/>
      <c r="I87" s="69"/>
      <c r="J87" s="69"/>
      <c r="K87" s="69"/>
      <c r="L87" s="69"/>
      <c r="M87" s="6"/>
      <c r="N87" s="6"/>
      <c r="O87" s="6"/>
      <c r="P87" s="6"/>
    </row>
    <row r="88" spans="1:16" ht="21" x14ac:dyDescent="0.65">
      <c r="A88" s="92">
        <v>0.84</v>
      </c>
      <c r="B88" s="95">
        <f t="shared" si="8"/>
        <v>0.93096436095909008</v>
      </c>
      <c r="C88" s="94">
        <v>83.478362012866583</v>
      </c>
      <c r="D88" s="90">
        <f t="shared" si="6"/>
        <v>842.30108848679583</v>
      </c>
      <c r="E88" s="90">
        <f t="shared" si="7"/>
        <v>327.91928544431806</v>
      </c>
      <c r="F88" s="93">
        <f t="shared" si="9"/>
        <v>0</v>
      </c>
      <c r="H88" s="69"/>
      <c r="I88" s="69"/>
      <c r="J88" s="69"/>
      <c r="K88" s="69"/>
      <c r="L88" s="69"/>
      <c r="M88" s="6"/>
      <c r="N88" s="6"/>
      <c r="O88" s="6"/>
      <c r="P88" s="6"/>
    </row>
    <row r="89" spans="1:16" ht="21" x14ac:dyDescent="0.65">
      <c r="A89" s="92">
        <v>0.85</v>
      </c>
      <c r="B89" s="95">
        <f t="shared" si="8"/>
        <v>0.93576267077323938</v>
      </c>
      <c r="C89" s="94">
        <v>83.256235018829088</v>
      </c>
      <c r="D89" s="90">
        <f t="shared" si="6"/>
        <v>836.68191739724944</v>
      </c>
      <c r="E89" s="90">
        <f t="shared" si="7"/>
        <v>325.46913474892625</v>
      </c>
      <c r="F89" s="93">
        <f t="shared" si="9"/>
        <v>9.0949470177292824E-13</v>
      </c>
      <c r="H89" s="69"/>
      <c r="I89" s="69"/>
      <c r="J89" s="69"/>
      <c r="K89" s="69"/>
      <c r="L89" s="69"/>
      <c r="M89" s="6"/>
      <c r="N89" s="6"/>
      <c r="O89" s="6"/>
      <c r="P89" s="6"/>
    </row>
    <row r="90" spans="1:16" ht="21" x14ac:dyDescent="0.65">
      <c r="A90" s="92">
        <v>0.86</v>
      </c>
      <c r="B90" s="95">
        <f t="shared" si="8"/>
        <v>0.94049064148922001</v>
      </c>
      <c r="C90" s="94">
        <v>83.035669401268265</v>
      </c>
      <c r="D90" s="90">
        <f t="shared" si="6"/>
        <v>831.13126457186888</v>
      </c>
      <c r="E90" s="90">
        <f t="shared" si="7"/>
        <v>323.05080334423093</v>
      </c>
      <c r="F90" s="93">
        <f t="shared" si="9"/>
        <v>0</v>
      </c>
      <c r="H90" s="69"/>
      <c r="I90" s="69"/>
      <c r="J90" s="69"/>
      <c r="K90" s="69"/>
      <c r="L90" s="69"/>
      <c r="M90" s="6"/>
      <c r="N90" s="6"/>
      <c r="O90" s="6"/>
      <c r="P90" s="6"/>
    </row>
    <row r="91" spans="1:16" ht="21" x14ac:dyDescent="0.65">
      <c r="A91" s="92">
        <v>0.87</v>
      </c>
      <c r="B91" s="95">
        <f t="shared" si="8"/>
        <v>0.94514962727278173</v>
      </c>
      <c r="C91" s="94">
        <v>82.816646558552335</v>
      </c>
      <c r="D91" s="90">
        <f t="shared" si="6"/>
        <v>825.6479502612807</v>
      </c>
      <c r="E91" s="90">
        <f t="shared" si="7"/>
        <v>320.66371748219751</v>
      </c>
      <c r="F91" s="93">
        <f t="shared" si="9"/>
        <v>0</v>
      </c>
      <c r="H91" s="69"/>
      <c r="I91" s="69"/>
      <c r="J91" s="69"/>
      <c r="K91" s="69"/>
      <c r="L91" s="69"/>
      <c r="M91" s="6"/>
      <c r="N91" s="6"/>
      <c r="O91" s="6"/>
      <c r="P91" s="6"/>
    </row>
    <row r="92" spans="1:16" ht="21" x14ac:dyDescent="0.65">
      <c r="A92" s="92">
        <v>0.88</v>
      </c>
      <c r="B92" s="95">
        <f t="shared" si="8"/>
        <v>0.94974095003622638</v>
      </c>
      <c r="C92" s="94">
        <v>82.599148189160971</v>
      </c>
      <c r="D92" s="90">
        <f t="shared" si="6"/>
        <v>820.23082048583183</v>
      </c>
      <c r="E92" s="90">
        <f t="shared" si="7"/>
        <v>318.30731643723334</v>
      </c>
      <c r="F92" s="93">
        <f t="shared" si="9"/>
        <v>0</v>
      </c>
      <c r="H92" s="69"/>
      <c r="I92" s="69"/>
      <c r="J92" s="69"/>
      <c r="K92" s="69"/>
      <c r="L92" s="69"/>
      <c r="M92" s="6"/>
      <c r="N92" s="6"/>
      <c r="O92" s="6"/>
      <c r="P92" s="6"/>
    </row>
    <row r="93" spans="1:16" ht="21" x14ac:dyDescent="0.65">
      <c r="A93" s="92">
        <v>0.89</v>
      </c>
      <c r="B93" s="95">
        <f t="shared" si="8"/>
        <v>0.95426590034607872</v>
      </c>
      <c r="C93" s="94">
        <v>82.383156285774788</v>
      </c>
      <c r="D93" s="90">
        <f t="shared" si="6"/>
        <v>814.87874636294362</v>
      </c>
      <c r="E93" s="90">
        <f t="shared" si="7"/>
        <v>315.98105215435851</v>
      </c>
      <c r="F93" s="93">
        <f t="shared" si="9"/>
        <v>0</v>
      </c>
      <c r="H93" s="69"/>
      <c r="I93" s="69"/>
      <c r="J93" s="69"/>
      <c r="K93" s="69"/>
      <c r="L93" s="69"/>
      <c r="M93" s="6"/>
      <c r="N93" s="6"/>
      <c r="O93" s="6"/>
      <c r="P93" s="6"/>
    </row>
    <row r="94" spans="1:16" ht="21" x14ac:dyDescent="0.65">
      <c r="A94" s="92">
        <v>0.9</v>
      </c>
      <c r="B94" s="95">
        <f t="shared" si="8"/>
        <v>0.95872573830154151</v>
      </c>
      <c r="C94" s="94">
        <v>82.168653129496974</v>
      </c>
      <c r="D94" s="90">
        <f t="shared" si="6"/>
        <v>809.59062345463508</v>
      </c>
      <c r="E94" s="90">
        <f t="shared" si="7"/>
        <v>313.68438890828298</v>
      </c>
      <c r="F94" s="93">
        <f t="shared" si="9"/>
        <v>0</v>
      </c>
      <c r="H94" s="69"/>
      <c r="I94" s="69"/>
      <c r="J94" s="69"/>
      <c r="K94" s="69"/>
      <c r="L94" s="69"/>
      <c r="M94" s="6"/>
      <c r="N94" s="6"/>
      <c r="O94" s="6"/>
      <c r="P94" s="6"/>
    </row>
    <row r="95" spans="1:16" ht="21" x14ac:dyDescent="0.65">
      <c r="A95" s="92">
        <v>0.91</v>
      </c>
      <c r="B95" s="95">
        <f t="shared" si="8"/>
        <v>0.96312169438477568</v>
      </c>
      <c r="C95" s="94">
        <v>81.955621284204156</v>
      </c>
      <c r="D95" s="90">
        <f t="shared" si="6"/>
        <v>804.3653711345379</v>
      </c>
      <c r="E95" s="90">
        <f t="shared" si="7"/>
        <v>311.41680297300917</v>
      </c>
      <c r="F95" s="93">
        <f t="shared" si="9"/>
        <v>0</v>
      </c>
      <c r="H95" s="69"/>
      <c r="I95" s="69"/>
      <c r="J95" s="69"/>
      <c r="K95" s="69"/>
      <c r="L95" s="69"/>
      <c r="M95" s="6"/>
      <c r="N95" s="6"/>
      <c r="O95" s="6"/>
      <c r="P95" s="6"/>
    </row>
    <row r="96" spans="1:16" ht="21" x14ac:dyDescent="0.65">
      <c r="A96" s="92">
        <v>0.92</v>
      </c>
      <c r="B96" s="95">
        <f t="shared" si="8"/>
        <v>0.96745497028404137</v>
      </c>
      <c r="C96" s="94">
        <v>81.744043591024507</v>
      </c>
      <c r="D96" s="90">
        <f t="shared" si="6"/>
        <v>799.20193197377318</v>
      </c>
      <c r="E96" s="90">
        <f t="shared" si="7"/>
        <v>309.17778230160405</v>
      </c>
      <c r="F96" s="93">
        <f t="shared" si="9"/>
        <v>0</v>
      </c>
      <c r="H96" s="69"/>
      <c r="I96" s="69"/>
      <c r="J96" s="69"/>
      <c r="K96" s="69"/>
      <c r="L96" s="69"/>
      <c r="M96" s="6"/>
      <c r="N96" s="6"/>
      <c r="O96" s="6"/>
      <c r="P96" s="6"/>
    </row>
    <row r="97" spans="1:16" ht="21" x14ac:dyDescent="0.65">
      <c r="A97" s="92">
        <v>0.93</v>
      </c>
      <c r="B97" s="95">
        <f t="shared" si="8"/>
        <v>0.97172673969065126</v>
      </c>
      <c r="C97" s="94">
        <v>81.533903162938515</v>
      </c>
      <c r="D97" s="90">
        <f t="shared" si="6"/>
        <v>794.09927114504831</v>
      </c>
      <c r="E97" s="90">
        <f t="shared" si="7"/>
        <v>306.96682621577872</v>
      </c>
      <c r="F97" s="93">
        <f t="shared" si="9"/>
        <v>0</v>
      </c>
      <c r="H97" s="69"/>
      <c r="I97" s="69"/>
      <c r="J97" s="69"/>
      <c r="K97" s="69"/>
      <c r="L97" s="69"/>
      <c r="M97" s="6"/>
      <c r="N97" s="6"/>
      <c r="O97" s="6"/>
      <c r="P97" s="6"/>
    </row>
    <row r="98" spans="1:16" ht="21" x14ac:dyDescent="0.65">
      <c r="A98" s="92">
        <v>0.94</v>
      </c>
      <c r="B98" s="95">
        <f t="shared" si="8"/>
        <v>0.97593814907066112</v>
      </c>
      <c r="C98" s="94">
        <v>81.325183379500714</v>
      </c>
      <c r="D98" s="90">
        <f t="shared" si="6"/>
        <v>789.05637584436431</v>
      </c>
      <c r="E98" s="90">
        <f t="shared" si="7"/>
        <v>304.7834451049564</v>
      </c>
      <c r="F98" s="93">
        <f t="shared" si="9"/>
        <v>0</v>
      </c>
      <c r="H98" s="69"/>
      <c r="I98" s="69"/>
      <c r="J98" s="69"/>
      <c r="K98" s="69"/>
      <c r="L98" s="69"/>
      <c r="M98" s="6"/>
      <c r="N98" s="6"/>
      <c r="O98" s="6"/>
      <c r="P98" s="6"/>
    </row>
    <row r="99" spans="1:16" ht="21" x14ac:dyDescent="0.65">
      <c r="A99" s="92">
        <v>0.95</v>
      </c>
      <c r="B99" s="95">
        <f t="shared" si="8"/>
        <v>0.98009031841220495</v>
      </c>
      <c r="C99" s="94">
        <v>81.11786788167845</v>
      </c>
      <c r="D99" s="90">
        <f t="shared" si="6"/>
        <v>784.07225472976404</v>
      </c>
      <c r="E99" s="90">
        <f t="shared" si="7"/>
        <v>302.62716013448579</v>
      </c>
      <c r="F99" s="93">
        <f t="shared" si="9"/>
        <v>0</v>
      </c>
      <c r="H99" s="69"/>
      <c r="I99" s="69"/>
      <c r="J99" s="69"/>
      <c r="K99" s="69"/>
      <c r="L99" s="69"/>
      <c r="M99" s="6"/>
      <c r="N99" s="6"/>
      <c r="O99" s="6"/>
      <c r="P99" s="6"/>
    </row>
    <row r="100" spans="1:16" ht="21" x14ac:dyDescent="0.65">
      <c r="A100" s="92">
        <v>0.96</v>
      </c>
      <c r="B100" s="95">
        <f t="shared" si="8"/>
        <v>0.98418434194933235</v>
      </c>
      <c r="C100" s="94">
        <v>80.911940566805882</v>
      </c>
      <c r="D100" s="90">
        <f t="shared" ref="D100:D104" si="10">10^($I$4-$J$4/(C100+$K$4))</f>
        <v>779.1459373765548</v>
      </c>
      <c r="E100" s="90">
        <f t="shared" si="7"/>
        <v>300.49750296270543</v>
      </c>
      <c r="F100" s="93">
        <f t="shared" si="9"/>
        <v>0</v>
      </c>
      <c r="H100" s="69"/>
      <c r="I100" s="69"/>
      <c r="J100" s="69"/>
      <c r="K100" s="69"/>
      <c r="L100" s="69"/>
      <c r="M100" s="6"/>
      <c r="N100" s="6"/>
      <c r="O100" s="6"/>
      <c r="P100" s="6"/>
    </row>
    <row r="101" spans="1:16" ht="21" x14ac:dyDescent="0.65">
      <c r="A101" s="92">
        <v>0.97</v>
      </c>
      <c r="B101" s="95">
        <f t="shared" si="8"/>
        <v>0.98822128886316141</v>
      </c>
      <c r="C101" s="94">
        <v>80.707385583649497</v>
      </c>
      <c r="D101" s="90">
        <f t="shared" si="10"/>
        <v>774.2764737484564</v>
      </c>
      <c r="E101" s="90">
        <f t="shared" si="7"/>
        <v>298.39401546654534</v>
      </c>
      <c r="F101" s="93">
        <f t="shared" si="9"/>
        <v>-1.0231815394945443E-12</v>
      </c>
      <c r="H101" s="69"/>
      <c r="I101" s="69"/>
      <c r="J101" s="69"/>
      <c r="K101" s="69"/>
      <c r="L101" s="69"/>
      <c r="M101" s="6"/>
      <c r="N101" s="6"/>
      <c r="O101" s="6"/>
      <c r="P101" s="6"/>
    </row>
    <row r="102" spans="1:16" ht="21" x14ac:dyDescent="0.65">
      <c r="A102" s="92">
        <v>0.98</v>
      </c>
      <c r="B102" s="95">
        <f t="shared" si="8"/>
        <v>0.99220220396117387</v>
      </c>
      <c r="C102" s="94">
        <v>80.504187327583125</v>
      </c>
      <c r="D102" s="90">
        <f t="shared" si="10"/>
        <v>769.46293368417571</v>
      </c>
      <c r="E102" s="90">
        <f t="shared" si="7"/>
        <v>296.31624947539063</v>
      </c>
      <c r="F102" s="93">
        <f t="shared" si="9"/>
        <v>0</v>
      </c>
      <c r="H102" s="69"/>
      <c r="I102" s="69"/>
      <c r="J102" s="69"/>
      <c r="K102" s="69"/>
      <c r="L102" s="69"/>
      <c r="M102" s="6"/>
      <c r="N102" s="6"/>
      <c r="O102" s="6"/>
      <c r="P102" s="6"/>
    </row>
    <row r="103" spans="1:16" ht="21" x14ac:dyDescent="0.65">
      <c r="A103" s="92">
        <v>0.99</v>
      </c>
      <c r="B103" s="95">
        <f t="shared" si="8"/>
        <v>0.99612810833333465</v>
      </c>
      <c r="C103" s="94">
        <v>80.302330435803199</v>
      </c>
      <c r="D103" s="90">
        <f t="shared" si="10"/>
        <v>764.70440639730748</v>
      </c>
      <c r="E103" s="90">
        <f t="shared" si="7"/>
        <v>294.26376651224075</v>
      </c>
      <c r="F103" s="93">
        <f t="shared" si="9"/>
        <v>-1.543185135233216E-9</v>
      </c>
      <c r="H103" s="69"/>
      <c r="I103" s="69"/>
      <c r="J103" s="69"/>
      <c r="K103" s="69"/>
      <c r="L103" s="69"/>
      <c r="M103" s="6"/>
      <c r="N103" s="6"/>
      <c r="O103" s="6"/>
      <c r="P103" s="6"/>
    </row>
    <row r="104" spans="1:16" ht="21" x14ac:dyDescent="0.65">
      <c r="A104" s="92">
        <v>1</v>
      </c>
      <c r="B104" s="95">
        <f t="shared" si="8"/>
        <v>0.99999930379029689</v>
      </c>
      <c r="C104" s="94">
        <v>80.101777174105038</v>
      </c>
      <c r="D104" s="90">
        <f t="shared" si="10"/>
        <v>759.99947088062561</v>
      </c>
      <c r="E104" s="90">
        <f t="shared" si="7"/>
        <v>292.23590957756312</v>
      </c>
      <c r="F104" s="93">
        <f t="shared" si="9"/>
        <v>-5.291193743914846E-4</v>
      </c>
      <c r="H104" s="69"/>
      <c r="I104" s="69"/>
      <c r="J104" s="69"/>
      <c r="K104" s="69"/>
      <c r="L104" s="69"/>
      <c r="M104" s="6"/>
      <c r="N104" s="6"/>
      <c r="O104" s="6"/>
      <c r="P104" s="6"/>
    </row>
    <row r="105" spans="1:16" ht="21" x14ac:dyDescent="0.65">
      <c r="A105" s="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"/>
      <c r="N105" s="6"/>
      <c r="O105" s="6"/>
      <c r="P105" s="6"/>
    </row>
    <row r="106" spans="1:16" ht="21" x14ac:dyDescent="0.65">
      <c r="A106" s="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"/>
      <c r="N106" s="6"/>
      <c r="O106" s="6"/>
      <c r="P106" s="6"/>
    </row>
    <row r="107" spans="1:16" ht="21" x14ac:dyDescent="0.6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21" x14ac:dyDescent="0.6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21" x14ac:dyDescent="0.6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21" x14ac:dyDescent="0.6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21" x14ac:dyDescent="0.6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</sheetData>
  <mergeCells count="1">
    <mergeCell ref="H7:I7"/>
  </mergeCells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9</vt:i4>
      </vt:variant>
    </vt:vector>
  </HeadingPairs>
  <TitlesOfParts>
    <vt:vector size="14" baseType="lpstr">
      <vt:lpstr>2-Stage No Recycle</vt:lpstr>
      <vt:lpstr>2-Stage w Recycle</vt:lpstr>
      <vt:lpstr>5-Stage</vt:lpstr>
      <vt:lpstr>5-Stage DIY</vt:lpstr>
      <vt:lpstr>VLE</vt:lpstr>
      <vt:lpstr>xy No Recycle</vt:lpstr>
      <vt:lpstr>Txy No Recycle</vt:lpstr>
      <vt:lpstr>xy w Recycle</vt:lpstr>
      <vt:lpstr>Txy w Recycle</vt:lpstr>
      <vt:lpstr>xy 5-Stage Streams</vt:lpstr>
      <vt:lpstr>xy 5-Stage Op Lines</vt:lpstr>
      <vt:lpstr>xy 5-Stage Stairs</vt:lpstr>
      <vt:lpstr>xy</vt:lpstr>
      <vt:lpstr>Txy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alane</cp:lastModifiedBy>
  <cp:lastPrinted>2017-04-03T19:43:13Z</cp:lastPrinted>
  <dcterms:created xsi:type="dcterms:W3CDTF">2013-01-13T02:51:17Z</dcterms:created>
  <dcterms:modified xsi:type="dcterms:W3CDTF">2020-03-16T17:02:06Z</dcterms:modified>
</cp:coreProperties>
</file>