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4.xml" ContentType="application/vnd.openxmlformats-officedocument.spreadsheetml.worksheet+xml"/>
  <Override PartName="/xl/chartsheets/sheet5.xml" ContentType="application/vnd.openxmlformats-officedocument.spreadsheetml.chart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oobiedw\Desktop\Documents\A Separations Book\HW Solutions\"/>
    </mc:Choice>
  </mc:AlternateContent>
  <bookViews>
    <workbookView xWindow="0" yWindow="0" windowWidth="24000" windowHeight="9600" tabRatio="807" activeTab="10"/>
  </bookViews>
  <sheets>
    <sheet name="10-Tray" sheetId="3" r:id="rId1"/>
    <sheet name="Flash" sheetId="25" r:id="rId2"/>
    <sheet name="DIY" sheetId="31" r:id="rId3"/>
    <sheet name="XY with Stair Steps" sheetId="17" r:id="rId4"/>
    <sheet name="Flow" sheetId="9" r:id="rId5"/>
    <sheet name="Temp" sheetId="10" r:id="rId6"/>
    <sheet name="Mole" sheetId="11" r:id="rId7"/>
    <sheet name="VLE" sheetId="2" r:id="rId8"/>
    <sheet name="xy" sheetId="24" r:id="rId9"/>
    <sheet name="Txy" sheetId="26" r:id="rId10"/>
    <sheet name="Lewis" sheetId="27" r:id="rId11"/>
    <sheet name="ChemCAD" sheetId="32" r:id="rId12"/>
  </sheets>
  <definedNames>
    <definedName name="solver_adj" localSheetId="0" hidden="1">'10-Tray'!$K$7:$K$18,'10-Tray'!$I$9:$I$18,'10-Tray'!$F$7</definedName>
    <definedName name="solver_adj" localSheetId="1" hidden="1">Flash!$B$13,Flash!$B$14,Flash!$B$15,Flash!$B$16</definedName>
    <definedName name="solver_adj" localSheetId="10" hidden="1">Lewis!$K$7:$K$18,Lewis!$F$7</definedName>
    <definedName name="solver_adj" localSheetId="7" hidden="1">VLE!$C$5:$C$105</definedName>
    <definedName name="solver_cvg" localSheetId="0" hidden="1">0.0001</definedName>
    <definedName name="solver_cvg" localSheetId="2" hidden="1">0.0001</definedName>
    <definedName name="solver_cvg" localSheetId="1" hidden="1">0.0001</definedName>
    <definedName name="solver_cvg" localSheetId="10" hidden="1">0.0001</definedName>
    <definedName name="solver_cvg" localSheetId="7" hidden="1">0.0001</definedName>
    <definedName name="solver_drv" localSheetId="0" hidden="1">1</definedName>
    <definedName name="solver_drv" localSheetId="2" hidden="1">1</definedName>
    <definedName name="solver_drv" localSheetId="1" hidden="1">1</definedName>
    <definedName name="solver_drv" localSheetId="10" hidden="1">1</definedName>
    <definedName name="solver_drv" localSheetId="7" hidden="1">2</definedName>
    <definedName name="solver_eng" localSheetId="0" hidden="1">1</definedName>
    <definedName name="solver_eng" localSheetId="2" hidden="1">1</definedName>
    <definedName name="solver_eng" localSheetId="1" hidden="1">1</definedName>
    <definedName name="solver_eng" localSheetId="10" hidden="1">1</definedName>
    <definedName name="solver_eng" localSheetId="7" hidden="1">1</definedName>
    <definedName name="solver_est" localSheetId="0" hidden="1">1</definedName>
    <definedName name="solver_est" localSheetId="2" hidden="1">1</definedName>
    <definedName name="solver_est" localSheetId="1" hidden="1">1</definedName>
    <definedName name="solver_est" localSheetId="10" hidden="1">1</definedName>
    <definedName name="solver_est" localSheetId="7" hidden="1">1</definedName>
    <definedName name="solver_itr" localSheetId="0" hidden="1">100</definedName>
    <definedName name="solver_itr" localSheetId="2" hidden="1">100</definedName>
    <definedName name="solver_itr" localSheetId="1" hidden="1">2147483647</definedName>
    <definedName name="solver_itr" localSheetId="10" hidden="1">2147483647</definedName>
    <definedName name="solver_itr" localSheetId="7" hidden="1">2147483647</definedName>
    <definedName name="solver_lhs1" localSheetId="0" hidden="1">'10-Tray'!$N$7:$N$18</definedName>
    <definedName name="solver_lhs1" localSheetId="2" hidden="1">DIY!$V$8:$V$17</definedName>
    <definedName name="solver_lhs1" localSheetId="1" hidden="1">Flash!$D$13:$D$14</definedName>
    <definedName name="solver_lhs1" localSheetId="10" hidden="1">Lewis!$H$20</definedName>
    <definedName name="solver_lhs1" localSheetId="7" hidden="1">VLE!$F$6:$F$105</definedName>
    <definedName name="solver_lhs10" localSheetId="0" hidden="1">'10-Tray'!$N$9</definedName>
    <definedName name="solver_lhs10" localSheetId="2" hidden="1">DIY!$N$9</definedName>
    <definedName name="solver_lhs11" localSheetId="0" hidden="1">'10-Tray'!$N$9</definedName>
    <definedName name="solver_lhs11" localSheetId="2" hidden="1">DIY!$N$9</definedName>
    <definedName name="solver_lhs12" localSheetId="0" hidden="1">'10-Tray'!$N$9</definedName>
    <definedName name="solver_lhs12" localSheetId="2" hidden="1">DIY!$N$9</definedName>
    <definedName name="solver_lhs13" localSheetId="0" hidden="1">'10-Tray'!$N$9</definedName>
    <definedName name="solver_lhs13" localSheetId="2" hidden="1">DIY!$N$9</definedName>
    <definedName name="solver_lhs2" localSheetId="0" hidden="1">'10-Tray'!$V$8:$V$17</definedName>
    <definedName name="solver_lhs2" localSheetId="2" hidden="1">DIY!$V$8:$V$17</definedName>
    <definedName name="solver_lhs2" localSheetId="1" hidden="1">Flash!$D$16</definedName>
    <definedName name="solver_lhs2" localSheetId="10" hidden="1">Lewis!$N$8:$N$18</definedName>
    <definedName name="solver_lhs3" localSheetId="0" hidden="1">'10-Tray'!$V$8:$V$17</definedName>
    <definedName name="solver_lhs3" localSheetId="2" hidden="1">DIY!$V$8:$V$17</definedName>
    <definedName name="solver_lhs4" localSheetId="0" hidden="1">'10-Tray'!$N$9</definedName>
    <definedName name="solver_lhs4" localSheetId="2" hidden="1">DIY!$N$9</definedName>
    <definedName name="solver_lhs5" localSheetId="0" hidden="1">'10-Tray'!$N$9</definedName>
    <definedName name="solver_lhs5" localSheetId="2" hidden="1">DIY!$N$9</definedName>
    <definedName name="solver_lhs6" localSheetId="0" hidden="1">'10-Tray'!$N$9</definedName>
    <definedName name="solver_lhs6" localSheetId="2" hidden="1">DIY!$N$9</definedName>
    <definedName name="solver_lhs7" localSheetId="0" hidden="1">'10-Tray'!$N$9</definedName>
    <definedName name="solver_lhs7" localSheetId="2" hidden="1">DIY!$N$9</definedName>
    <definedName name="solver_lhs8" localSheetId="0" hidden="1">'10-Tray'!$N$9</definedName>
    <definedName name="solver_lhs8" localSheetId="2" hidden="1">DIY!$N$9</definedName>
    <definedName name="solver_lhs9" localSheetId="0" hidden="1">'10-Tray'!$N$9</definedName>
    <definedName name="solver_lhs9" localSheetId="2" hidden="1">DIY!$N$9</definedName>
    <definedName name="solver_lin" localSheetId="0" hidden="1">2</definedName>
    <definedName name="solver_lin" localSheetId="2" hidden="1">2</definedName>
    <definedName name="solver_mip" localSheetId="0" hidden="1">2147483647</definedName>
    <definedName name="solver_mip" localSheetId="2" hidden="1">2147483647</definedName>
    <definedName name="solver_mip" localSheetId="1" hidden="1">2147483647</definedName>
    <definedName name="solver_mip" localSheetId="10" hidden="1">2147483647</definedName>
    <definedName name="solver_mip" localSheetId="7" hidden="1">2147483647</definedName>
    <definedName name="solver_mni" localSheetId="0" hidden="1">30</definedName>
    <definedName name="solver_mni" localSheetId="2" hidden="1">30</definedName>
    <definedName name="solver_mni" localSheetId="1" hidden="1">30</definedName>
    <definedName name="solver_mni" localSheetId="10" hidden="1">30</definedName>
    <definedName name="solver_mni" localSheetId="7" hidden="1">30</definedName>
    <definedName name="solver_mrt" localSheetId="0" hidden="1">0.075</definedName>
    <definedName name="solver_mrt" localSheetId="2" hidden="1">0.075</definedName>
    <definedName name="solver_mrt" localSheetId="1" hidden="1">0.075</definedName>
    <definedName name="solver_mrt" localSheetId="10" hidden="1">0.075</definedName>
    <definedName name="solver_mrt" localSheetId="7" hidden="1">0.075</definedName>
    <definedName name="solver_msl" localSheetId="0" hidden="1">2</definedName>
    <definedName name="solver_msl" localSheetId="2" hidden="1">2</definedName>
    <definedName name="solver_msl" localSheetId="1" hidden="1">2</definedName>
    <definedName name="solver_msl" localSheetId="10" hidden="1">2</definedName>
    <definedName name="solver_msl" localSheetId="7" hidden="1">2</definedName>
    <definedName name="solver_neg" localSheetId="0" hidden="1">2</definedName>
    <definedName name="solver_neg" localSheetId="2" hidden="1">2</definedName>
    <definedName name="solver_neg" localSheetId="1" hidden="1">1</definedName>
    <definedName name="solver_neg" localSheetId="10" hidden="1">1</definedName>
    <definedName name="solver_neg" localSheetId="7" hidden="1">1</definedName>
    <definedName name="solver_nod" localSheetId="0" hidden="1">2147483647</definedName>
    <definedName name="solver_nod" localSheetId="2" hidden="1">2147483647</definedName>
    <definedName name="solver_nod" localSheetId="1" hidden="1">2147483647</definedName>
    <definedName name="solver_nod" localSheetId="10" hidden="1">2147483647</definedName>
    <definedName name="solver_nod" localSheetId="7" hidden="1">2147483647</definedName>
    <definedName name="solver_num" localSheetId="0" hidden="1">2</definedName>
    <definedName name="solver_num" localSheetId="2" hidden="1">0</definedName>
    <definedName name="solver_num" localSheetId="1" hidden="1">2</definedName>
    <definedName name="solver_num" localSheetId="10" hidden="1">2</definedName>
    <definedName name="solver_num" localSheetId="7" hidden="1">1</definedName>
    <definedName name="solver_nwt" localSheetId="0" hidden="1">1</definedName>
    <definedName name="solver_nwt" localSheetId="2" hidden="1">1</definedName>
    <definedName name="solver_nwt" localSheetId="1" hidden="1">1</definedName>
    <definedName name="solver_nwt" localSheetId="10" hidden="1">1</definedName>
    <definedName name="solver_nwt" localSheetId="7" hidden="1">1</definedName>
    <definedName name="solver_opt" localSheetId="0" hidden="1">'10-Tray'!$H$20</definedName>
    <definedName name="solver_opt" localSheetId="1" hidden="1">Flash!$D$15</definedName>
    <definedName name="solver_opt" localSheetId="10" hidden="1">Lewis!$N$7</definedName>
    <definedName name="solver_opt" localSheetId="7" hidden="1">VLE!$F$5</definedName>
    <definedName name="solver_pre" localSheetId="0" hidden="1">0.000001</definedName>
    <definedName name="solver_pre" localSheetId="2" hidden="1">0.000001</definedName>
    <definedName name="solver_pre" localSheetId="1" hidden="1">0.000001</definedName>
    <definedName name="solver_pre" localSheetId="10" hidden="1">0.000001</definedName>
    <definedName name="solver_pre" localSheetId="7" hidden="1">0.000001</definedName>
    <definedName name="solver_rbv" localSheetId="0" hidden="1">1</definedName>
    <definedName name="solver_rbv" localSheetId="2" hidden="1">1</definedName>
    <definedName name="solver_rbv" localSheetId="1" hidden="1">1</definedName>
    <definedName name="solver_rbv" localSheetId="10" hidden="1">1</definedName>
    <definedName name="solver_rbv" localSheetId="7" hidden="1">2</definedName>
    <definedName name="solver_rel1" localSheetId="0" hidden="1">2</definedName>
    <definedName name="solver_rel1" localSheetId="2" hidden="1">2</definedName>
    <definedName name="solver_rel1" localSheetId="1" hidden="1">2</definedName>
    <definedName name="solver_rel1" localSheetId="10" hidden="1">2</definedName>
    <definedName name="solver_rel1" localSheetId="7" hidden="1">2</definedName>
    <definedName name="solver_rel10" localSheetId="0" hidden="1">2</definedName>
    <definedName name="solver_rel10" localSheetId="2" hidden="1">2</definedName>
    <definedName name="solver_rel11" localSheetId="0" hidden="1">2</definedName>
    <definedName name="solver_rel11" localSheetId="2" hidden="1">2</definedName>
    <definedName name="solver_rel12" localSheetId="0" hidden="1">2</definedName>
    <definedName name="solver_rel12" localSheetId="2" hidden="1">2</definedName>
    <definedName name="solver_rel13" localSheetId="0" hidden="1">2</definedName>
    <definedName name="solver_rel13" localSheetId="2" hidden="1">2</definedName>
    <definedName name="solver_rel2" localSheetId="0" hidden="1">2</definedName>
    <definedName name="solver_rel2" localSheetId="2" hidden="1">2</definedName>
    <definedName name="solver_rel2" localSheetId="1" hidden="1">2</definedName>
    <definedName name="solver_rel2" localSheetId="10" hidden="1">2</definedName>
    <definedName name="solver_rel3" localSheetId="0" hidden="1">2</definedName>
    <definedName name="solver_rel3" localSheetId="2" hidden="1">2</definedName>
    <definedName name="solver_rel4" localSheetId="0" hidden="1">2</definedName>
    <definedName name="solver_rel4" localSheetId="2" hidden="1">2</definedName>
    <definedName name="solver_rel5" localSheetId="0" hidden="1">2</definedName>
    <definedName name="solver_rel5" localSheetId="2" hidden="1">2</definedName>
    <definedName name="solver_rel6" localSheetId="0" hidden="1">2</definedName>
    <definedName name="solver_rel6" localSheetId="2" hidden="1">2</definedName>
    <definedName name="solver_rel7" localSheetId="0" hidden="1">2</definedName>
    <definedName name="solver_rel7" localSheetId="2" hidden="1">2</definedName>
    <definedName name="solver_rel8" localSheetId="0" hidden="1">2</definedName>
    <definedName name="solver_rel8" localSheetId="2" hidden="1">2</definedName>
    <definedName name="solver_rel9" localSheetId="0" hidden="1">2</definedName>
    <definedName name="solver_rel9" localSheetId="2" hidden="1">2</definedName>
    <definedName name="solver_rhs1" localSheetId="0" hidden="1">1</definedName>
    <definedName name="solver_rhs1" localSheetId="2" hidden="1">0</definedName>
    <definedName name="solver_rhs1" localSheetId="1" hidden="1">0</definedName>
    <definedName name="solver_rhs1" localSheetId="10" hidden="1">0</definedName>
    <definedName name="solver_rhs1" localSheetId="7" hidden="1">0</definedName>
    <definedName name="solver_rhs10" localSheetId="0" hidden="1">1</definedName>
    <definedName name="solver_rhs10" localSheetId="2" hidden="1">1</definedName>
    <definedName name="solver_rhs11" localSheetId="0" hidden="1">1</definedName>
    <definedName name="solver_rhs11" localSheetId="2" hidden="1">1</definedName>
    <definedName name="solver_rhs12" localSheetId="0" hidden="1">1</definedName>
    <definedName name="solver_rhs12" localSheetId="2" hidden="1">1</definedName>
    <definedName name="solver_rhs13" localSheetId="0" hidden="1">1</definedName>
    <definedName name="solver_rhs13" localSheetId="2" hidden="1">1</definedName>
    <definedName name="solver_rhs2" localSheetId="0" hidden="1">0</definedName>
    <definedName name="solver_rhs2" localSheetId="2" hidden="1">0</definedName>
    <definedName name="solver_rhs2" localSheetId="1" hidden="1">0</definedName>
    <definedName name="solver_rhs2" localSheetId="10" hidden="1">1</definedName>
    <definedName name="solver_rhs3" localSheetId="0" hidden="1">0</definedName>
    <definedName name="solver_rhs3" localSheetId="2" hidden="1">0</definedName>
    <definedName name="solver_rhs4" localSheetId="0" hidden="1">1</definedName>
    <definedName name="solver_rhs4" localSheetId="2" hidden="1">1</definedName>
    <definedName name="solver_rhs5" localSheetId="0" hidden="1">1</definedName>
    <definedName name="solver_rhs5" localSheetId="2" hidden="1">1</definedName>
    <definedName name="solver_rhs6" localSheetId="0" hidden="1">1</definedName>
    <definedName name="solver_rhs6" localSheetId="2" hidden="1">1</definedName>
    <definedName name="solver_rhs7" localSheetId="0" hidden="1">1</definedName>
    <definedName name="solver_rhs7" localSheetId="2" hidden="1">1</definedName>
    <definedName name="solver_rhs8" localSheetId="0" hidden="1">1</definedName>
    <definedName name="solver_rhs8" localSheetId="2" hidden="1">1</definedName>
    <definedName name="solver_rhs9" localSheetId="0" hidden="1">1</definedName>
    <definedName name="solver_rhs9" localSheetId="2" hidden="1">1</definedName>
    <definedName name="solver_rlx" localSheetId="0" hidden="1">1</definedName>
    <definedName name="solver_rlx" localSheetId="2" hidden="1">1</definedName>
    <definedName name="solver_rlx" localSheetId="1" hidden="1">2</definedName>
    <definedName name="solver_rlx" localSheetId="10" hidden="1">2</definedName>
    <definedName name="solver_rlx" localSheetId="7" hidden="1">2</definedName>
    <definedName name="solver_rsd" localSheetId="0" hidden="1">0</definedName>
    <definedName name="solver_rsd" localSheetId="2" hidden="1">0</definedName>
    <definedName name="solver_rsd" localSheetId="1" hidden="1">0</definedName>
    <definedName name="solver_rsd" localSheetId="10" hidden="1">0</definedName>
    <definedName name="solver_rsd" localSheetId="7" hidden="1">0</definedName>
    <definedName name="solver_scl" localSheetId="0" hidden="1">2</definedName>
    <definedName name="solver_scl" localSheetId="2" hidden="1">2</definedName>
    <definedName name="solver_scl" localSheetId="1" hidden="1">1</definedName>
    <definedName name="solver_scl" localSheetId="10" hidden="1">1</definedName>
    <definedName name="solver_scl" localSheetId="7" hidden="1">2</definedName>
    <definedName name="solver_sho" localSheetId="0" hidden="1">2</definedName>
    <definedName name="solver_sho" localSheetId="2" hidden="1">2</definedName>
    <definedName name="solver_sho" localSheetId="1" hidden="1">2</definedName>
    <definedName name="solver_sho" localSheetId="10" hidden="1">2</definedName>
    <definedName name="solver_sho" localSheetId="7" hidden="1">2</definedName>
    <definedName name="solver_ssz" localSheetId="0" hidden="1">100</definedName>
    <definedName name="solver_ssz" localSheetId="2" hidden="1">100</definedName>
    <definedName name="solver_ssz" localSheetId="1" hidden="1">100</definedName>
    <definedName name="solver_ssz" localSheetId="10" hidden="1">100</definedName>
    <definedName name="solver_ssz" localSheetId="7" hidden="1">100</definedName>
    <definedName name="solver_tim" localSheetId="0" hidden="1">100</definedName>
    <definedName name="solver_tim" localSheetId="2" hidden="1">100</definedName>
    <definedName name="solver_tim" localSheetId="1" hidden="1">2147483647</definedName>
    <definedName name="solver_tim" localSheetId="10" hidden="1">2147483647</definedName>
    <definedName name="solver_tim" localSheetId="7" hidden="1">2147483647</definedName>
    <definedName name="solver_tol" localSheetId="0" hidden="1">0.05</definedName>
    <definedName name="solver_tol" localSheetId="2" hidden="1">0.05</definedName>
    <definedName name="solver_tol" localSheetId="1" hidden="1">0.01</definedName>
    <definedName name="solver_tol" localSheetId="10" hidden="1">0.01</definedName>
    <definedName name="solver_tol" localSheetId="7" hidden="1">0.01</definedName>
    <definedName name="solver_typ" localSheetId="0" hidden="1">3</definedName>
    <definedName name="solver_typ" localSheetId="2" hidden="1">3</definedName>
    <definedName name="solver_typ" localSheetId="1" hidden="1">3</definedName>
    <definedName name="solver_typ" localSheetId="10" hidden="1">3</definedName>
    <definedName name="solver_typ" localSheetId="7" hidden="1">3</definedName>
    <definedName name="solver_val" localSheetId="0" hidden="1">0</definedName>
    <definedName name="solver_val" localSheetId="2" hidden="1">0</definedName>
    <definedName name="solver_val" localSheetId="1" hidden="1">0</definedName>
    <definedName name="solver_val" localSheetId="10" hidden="1">1</definedName>
    <definedName name="solver_val" localSheetId="7" hidden="1">0</definedName>
    <definedName name="solver_ver" localSheetId="0" hidden="1">3</definedName>
    <definedName name="solver_ver" localSheetId="2" hidden="1">3</definedName>
    <definedName name="solver_ver" localSheetId="1" hidden="1">3</definedName>
    <definedName name="solver_ver" localSheetId="10" hidden="1">3</definedName>
    <definedName name="solver_ver" localSheetId="7" hidden="1">3</definedName>
  </definedNames>
  <calcPr calcId="162913"/>
</workbook>
</file>

<file path=xl/calcChain.xml><?xml version="1.0" encoding="utf-8"?>
<calcChain xmlns="http://schemas.openxmlformats.org/spreadsheetml/2006/main">
  <c r="R9" i="3" l="1"/>
  <c r="R10" i="3"/>
  <c r="R11" i="3"/>
  <c r="R12" i="3"/>
  <c r="R13" i="3"/>
  <c r="R14" i="3"/>
  <c r="R15" i="3"/>
  <c r="R16" i="3"/>
  <c r="R17" i="3"/>
  <c r="R18" i="3"/>
  <c r="Q9" i="3"/>
  <c r="Q10" i="3"/>
  <c r="Q11" i="3"/>
  <c r="Q12" i="3"/>
  <c r="Q13" i="3"/>
  <c r="Q14" i="3"/>
  <c r="Q15" i="3"/>
  <c r="Q16" i="3"/>
  <c r="Q17" i="3"/>
  <c r="Q18" i="3"/>
  <c r="P8" i="3"/>
  <c r="P9" i="3"/>
  <c r="P10" i="3"/>
  <c r="P11" i="3"/>
  <c r="P12" i="3"/>
  <c r="P13" i="3"/>
  <c r="P14" i="3"/>
  <c r="P15" i="3"/>
  <c r="P16" i="3"/>
  <c r="P17" i="3"/>
  <c r="P18" i="3"/>
  <c r="O8" i="3"/>
  <c r="O9" i="3"/>
  <c r="O10" i="3"/>
  <c r="O11" i="3"/>
  <c r="O12" i="3"/>
  <c r="O13" i="3"/>
  <c r="O14" i="3"/>
  <c r="O15" i="3"/>
  <c r="O16" i="3"/>
  <c r="O17" i="3"/>
  <c r="O18" i="3"/>
  <c r="R8" i="3"/>
  <c r="Q8" i="3"/>
  <c r="P7" i="3"/>
  <c r="O7" i="3"/>
  <c r="S11" i="3"/>
  <c r="M14" i="32"/>
  <c r="L14" i="32"/>
  <c r="K14" i="32"/>
  <c r="J14" i="32"/>
  <c r="I14" i="32"/>
  <c r="H14" i="32"/>
  <c r="M13" i="32"/>
  <c r="L13" i="32"/>
  <c r="K13" i="32"/>
  <c r="J13" i="32"/>
  <c r="I13" i="32"/>
  <c r="H13" i="32"/>
  <c r="M12" i="32"/>
  <c r="L12" i="32"/>
  <c r="K12" i="32"/>
  <c r="J12" i="32"/>
  <c r="I12" i="32"/>
  <c r="H12" i="32"/>
  <c r="M11" i="32"/>
  <c r="L11" i="32"/>
  <c r="K11" i="32"/>
  <c r="J11" i="32"/>
  <c r="I11" i="32"/>
  <c r="H11" i="32"/>
  <c r="M10" i="32"/>
  <c r="L10" i="32"/>
  <c r="K10" i="32"/>
  <c r="J10" i="32"/>
  <c r="I10" i="32"/>
  <c r="H10" i="32"/>
  <c r="M9" i="32"/>
  <c r="L9" i="32"/>
  <c r="K9" i="32"/>
  <c r="J9" i="32"/>
  <c r="I9" i="32"/>
  <c r="H9" i="32"/>
  <c r="M8" i="32"/>
  <c r="L8" i="32"/>
  <c r="K8" i="32"/>
  <c r="J8" i="32"/>
  <c r="I8" i="32"/>
  <c r="H8" i="32"/>
  <c r="M7" i="32"/>
  <c r="L7" i="32"/>
  <c r="K7" i="32"/>
  <c r="J7" i="32"/>
  <c r="I7" i="32"/>
  <c r="H7" i="32"/>
  <c r="M6" i="32"/>
  <c r="L6" i="32"/>
  <c r="K6" i="32"/>
  <c r="J6" i="32"/>
  <c r="I6" i="32"/>
  <c r="H6" i="32"/>
  <c r="M5" i="32"/>
  <c r="L5" i="32"/>
  <c r="K5" i="32"/>
  <c r="J5" i="32"/>
  <c r="I5" i="32"/>
  <c r="H5" i="32"/>
  <c r="M4" i="32"/>
  <c r="L4" i="32"/>
  <c r="K4" i="32"/>
  <c r="J4" i="32"/>
  <c r="I4" i="32"/>
  <c r="H4" i="32"/>
  <c r="M3" i="32"/>
  <c r="J3" i="32"/>
  <c r="I3" i="32"/>
  <c r="H3" i="32"/>
  <c r="O27" i="25"/>
  <c r="O26" i="25"/>
  <c r="O25" i="31" l="1"/>
  <c r="O24" i="31"/>
  <c r="M30" i="27" l="1"/>
  <c r="B44" i="27"/>
  <c r="B43" i="27"/>
  <c r="K41" i="27"/>
  <c r="K40" i="27"/>
  <c r="B40" i="27"/>
  <c r="K39" i="27"/>
  <c r="B39" i="27"/>
  <c r="K38" i="27"/>
  <c r="B38" i="27"/>
  <c r="K37" i="27"/>
  <c r="B37" i="27"/>
  <c r="K36" i="27"/>
  <c r="B36" i="27"/>
  <c r="K35" i="27"/>
  <c r="B35" i="27"/>
  <c r="K34" i="27"/>
  <c r="B34" i="27"/>
  <c r="K33" i="27"/>
  <c r="B33" i="27"/>
  <c r="K32" i="27"/>
  <c r="B32" i="27"/>
  <c r="K31" i="27"/>
  <c r="B31" i="27"/>
  <c r="K30" i="27"/>
  <c r="B30" i="27"/>
  <c r="M18" i="27"/>
  <c r="L18" i="27"/>
  <c r="M17" i="27"/>
  <c r="L17" i="27"/>
  <c r="D17" i="27"/>
  <c r="M16" i="27"/>
  <c r="L16" i="27"/>
  <c r="D16" i="27"/>
  <c r="M15" i="27"/>
  <c r="L15" i="27"/>
  <c r="D15" i="27"/>
  <c r="M14" i="27"/>
  <c r="L14" i="27"/>
  <c r="D14" i="27"/>
  <c r="M13" i="27"/>
  <c r="L13" i="27"/>
  <c r="D13" i="27"/>
  <c r="M12" i="27"/>
  <c r="L12" i="27"/>
  <c r="D12" i="27"/>
  <c r="M11" i="27"/>
  <c r="L11" i="27"/>
  <c r="D11" i="27"/>
  <c r="M10" i="27"/>
  <c r="L10" i="27"/>
  <c r="D10" i="27"/>
  <c r="M9" i="27"/>
  <c r="L9" i="27"/>
  <c r="D9" i="27"/>
  <c r="M8" i="27"/>
  <c r="L8" i="27"/>
  <c r="J8" i="27"/>
  <c r="M31" i="27" s="1"/>
  <c r="D8" i="27"/>
  <c r="M7" i="27"/>
  <c r="L7" i="27"/>
  <c r="H7" i="27"/>
  <c r="L30" i="27" s="1"/>
  <c r="G7" i="27"/>
  <c r="I30" i="27" s="1"/>
  <c r="N8" i="27" l="1"/>
  <c r="F31" i="27"/>
  <c r="N7" i="27"/>
  <c r="H8" i="27"/>
  <c r="I8" i="27"/>
  <c r="E30" i="27"/>
  <c r="F30" i="27"/>
  <c r="E32" i="27" l="1"/>
  <c r="L31" i="27"/>
  <c r="E31" i="27"/>
  <c r="J31" i="27"/>
  <c r="I9" i="27"/>
  <c r="G8" i="27" l="1"/>
  <c r="J32" i="27"/>
  <c r="I10" i="27"/>
  <c r="G9" i="27" l="1"/>
  <c r="I32" i="27" s="1"/>
  <c r="J33" i="27"/>
  <c r="I11" i="27"/>
  <c r="I31" i="27"/>
  <c r="J9" i="27"/>
  <c r="M32" i="27" s="1"/>
  <c r="J34" i="27" l="1"/>
  <c r="G10" i="27"/>
  <c r="I33" i="27" s="1"/>
  <c r="I12" i="27"/>
  <c r="F32" i="27"/>
  <c r="F33" i="27"/>
  <c r="N9" i="27"/>
  <c r="H9" i="27"/>
  <c r="L32" i="27" s="1"/>
  <c r="J10" i="27" l="1"/>
  <c r="M33" i="27" s="1"/>
  <c r="G11" i="27"/>
  <c r="I34" i="27" s="1"/>
  <c r="J35" i="27"/>
  <c r="I13" i="27"/>
  <c r="E33" i="27"/>
  <c r="E34" i="27"/>
  <c r="F34" i="27" l="1"/>
  <c r="N10" i="27"/>
  <c r="F35" i="27"/>
  <c r="H10" i="27"/>
  <c r="L33" i="27" s="1"/>
  <c r="G12" i="27"/>
  <c r="I35" i="27" s="1"/>
  <c r="J36" i="27"/>
  <c r="I14" i="27"/>
  <c r="E35" i="27" l="1"/>
  <c r="J11" i="27"/>
  <c r="M34" i="27" s="1"/>
  <c r="E36" i="27"/>
  <c r="G13" i="27"/>
  <c r="I36" i="27" s="1"/>
  <c r="J37" i="27"/>
  <c r="I15" i="27"/>
  <c r="H11" i="27" l="1"/>
  <c r="E38" i="27" s="1"/>
  <c r="F36" i="27"/>
  <c r="N11" i="27"/>
  <c r="F37" i="27"/>
  <c r="G14" i="27"/>
  <c r="I37" i="27" s="1"/>
  <c r="J38" i="27"/>
  <c r="I16" i="27"/>
  <c r="L34" i="27" l="1"/>
  <c r="E37" i="27"/>
  <c r="J12" i="27"/>
  <c r="G15" i="27"/>
  <c r="I38" i="27" s="1"/>
  <c r="J39" i="27"/>
  <c r="I17" i="27"/>
  <c r="M35" i="27" l="1"/>
  <c r="N12" i="27"/>
  <c r="F38" i="27"/>
  <c r="H12" i="27"/>
  <c r="E39" i="27" s="1"/>
  <c r="F39" i="27"/>
  <c r="G16" i="27"/>
  <c r="I39" i="27" s="1"/>
  <c r="I18" i="27"/>
  <c r="J40" i="27"/>
  <c r="L35" i="27" l="1"/>
  <c r="E40" i="27"/>
  <c r="J13" i="27"/>
  <c r="N13" i="27" s="1"/>
  <c r="G17" i="27"/>
  <c r="J41" i="27"/>
  <c r="M36" i="27" l="1"/>
  <c r="F40" i="27"/>
  <c r="F41" i="27"/>
  <c r="H13" i="27"/>
  <c r="J14" i="27" s="1"/>
  <c r="H14" i="27" s="1"/>
  <c r="J15" i="27" s="1"/>
  <c r="G18" i="27"/>
  <c r="I40" i="27"/>
  <c r="F43" i="27" l="1"/>
  <c r="E42" i="27"/>
  <c r="M37" i="27"/>
  <c r="N14" i="27"/>
  <c r="E41" i="27"/>
  <c r="F42" i="27"/>
  <c r="L36" i="27"/>
  <c r="M38" i="27"/>
  <c r="F45" i="27"/>
  <c r="H15" i="27"/>
  <c r="F44" i="27"/>
  <c r="N15" i="27"/>
  <c r="L37" i="27"/>
  <c r="E43" i="27"/>
  <c r="E44" i="27"/>
  <c r="I41" i="27"/>
  <c r="H19" i="27"/>
  <c r="F52" i="27" s="1"/>
  <c r="E46" i="27" l="1"/>
  <c r="L38" i="27"/>
  <c r="E45" i="27"/>
  <c r="J16" i="27"/>
  <c r="M39" i="27" l="1"/>
  <c r="H16" i="27"/>
  <c r="J17" i="27" s="1"/>
  <c r="F47" i="27"/>
  <c r="F46" i="27"/>
  <c r="N16" i="27"/>
  <c r="M40" i="27" l="1"/>
  <c r="N17" i="27"/>
  <c r="F49" i="27"/>
  <c r="H17" i="27"/>
  <c r="J18" i="27" s="1"/>
  <c r="F48" i="27"/>
  <c r="L39" i="27"/>
  <c r="E47" i="27"/>
  <c r="E48" i="27"/>
  <c r="B9" i="25"/>
  <c r="L40" i="27" l="1"/>
  <c r="E49" i="27"/>
  <c r="E50" i="27"/>
  <c r="M41" i="27"/>
  <c r="H18" i="27"/>
  <c r="F51" i="27"/>
  <c r="F50" i="27"/>
  <c r="N18" i="27"/>
  <c r="J12" i="25"/>
  <c r="B8" i="25"/>
  <c r="C19" i="3"/>
  <c r="B7" i="25" s="1"/>
  <c r="B19" i="3"/>
  <c r="B6" i="25" s="1"/>
  <c r="L41" i="27" l="1"/>
  <c r="E51" i="27"/>
  <c r="C30" i="27"/>
  <c r="C33" i="27"/>
  <c r="C37" i="27"/>
  <c r="E52" i="27"/>
  <c r="C40" i="27"/>
  <c r="C31" i="27"/>
  <c r="C34" i="27"/>
  <c r="H20" i="27"/>
  <c r="C39" i="27"/>
  <c r="C35" i="27"/>
  <c r="C32" i="27"/>
  <c r="C36" i="27"/>
  <c r="C38" i="27"/>
  <c r="G13" i="25"/>
  <c r="G15" i="25"/>
  <c r="G14" i="25"/>
  <c r="J13" i="25"/>
  <c r="G16" i="25"/>
  <c r="J11" i="25"/>
  <c r="J20" i="25" s="1"/>
  <c r="E7" i="25"/>
  <c r="E6" i="25"/>
  <c r="E9" i="25"/>
  <c r="E8" i="25"/>
  <c r="J17" i="25" l="1"/>
  <c r="J18" i="25"/>
  <c r="I9" i="25"/>
  <c r="I7" i="25"/>
  <c r="D12" i="25" l="1"/>
  <c r="B12" i="25"/>
  <c r="D14" i="25" l="1"/>
  <c r="D13" i="25"/>
  <c r="O25" i="3" l="1"/>
  <c r="O24" i="3"/>
  <c r="D7" i="2" l="1"/>
  <c r="B7" i="2" s="1"/>
  <c r="E7" i="2"/>
  <c r="D8" i="2"/>
  <c r="B8" i="2" s="1"/>
  <c r="E8" i="2"/>
  <c r="D9" i="2"/>
  <c r="B9" i="2" s="1"/>
  <c r="E9" i="2"/>
  <c r="D10" i="2"/>
  <c r="B10" i="2" s="1"/>
  <c r="E10" i="2"/>
  <c r="D11" i="2"/>
  <c r="B11" i="2" s="1"/>
  <c r="E11" i="2"/>
  <c r="D12" i="2"/>
  <c r="B12" i="2" s="1"/>
  <c r="E12" i="2"/>
  <c r="D13" i="2"/>
  <c r="B13" i="2" s="1"/>
  <c r="E13" i="2"/>
  <c r="D14" i="2"/>
  <c r="B14" i="2" s="1"/>
  <c r="E14" i="2"/>
  <c r="D15" i="2"/>
  <c r="B15" i="2" s="1"/>
  <c r="E15" i="2"/>
  <c r="D16" i="2"/>
  <c r="B16" i="2" s="1"/>
  <c r="E16" i="2"/>
  <c r="D17" i="2"/>
  <c r="B17" i="2" s="1"/>
  <c r="E17" i="2"/>
  <c r="D18" i="2"/>
  <c r="B18" i="2" s="1"/>
  <c r="E18" i="2"/>
  <c r="D19" i="2"/>
  <c r="B19" i="2" s="1"/>
  <c r="E19" i="2"/>
  <c r="D20" i="2"/>
  <c r="B20" i="2" s="1"/>
  <c r="E20" i="2"/>
  <c r="D21" i="2"/>
  <c r="B21" i="2" s="1"/>
  <c r="E21" i="2"/>
  <c r="D22" i="2"/>
  <c r="B22" i="2" s="1"/>
  <c r="E22" i="2"/>
  <c r="D23" i="2"/>
  <c r="B23" i="2" s="1"/>
  <c r="E23" i="2"/>
  <c r="D24" i="2"/>
  <c r="B24" i="2" s="1"/>
  <c r="E24" i="2"/>
  <c r="D25" i="2"/>
  <c r="B25" i="2" s="1"/>
  <c r="E25" i="2"/>
  <c r="D26" i="2"/>
  <c r="B26" i="2" s="1"/>
  <c r="E26" i="2"/>
  <c r="D27" i="2"/>
  <c r="B27" i="2" s="1"/>
  <c r="E27" i="2"/>
  <c r="D28" i="2"/>
  <c r="B28" i="2" s="1"/>
  <c r="E28" i="2"/>
  <c r="D29" i="2"/>
  <c r="B29" i="2" s="1"/>
  <c r="E29" i="2"/>
  <c r="D30" i="2"/>
  <c r="B30" i="2" s="1"/>
  <c r="E30" i="2"/>
  <c r="D31" i="2"/>
  <c r="B31" i="2" s="1"/>
  <c r="E31" i="2"/>
  <c r="D32" i="2"/>
  <c r="B32" i="2" s="1"/>
  <c r="E32" i="2"/>
  <c r="D33" i="2"/>
  <c r="B33" i="2" s="1"/>
  <c r="E33" i="2"/>
  <c r="D34" i="2"/>
  <c r="B34" i="2" s="1"/>
  <c r="E34" i="2"/>
  <c r="D35" i="2"/>
  <c r="B35" i="2" s="1"/>
  <c r="E35" i="2"/>
  <c r="D36" i="2"/>
  <c r="B36" i="2" s="1"/>
  <c r="E36" i="2"/>
  <c r="D37" i="2"/>
  <c r="B37" i="2" s="1"/>
  <c r="E37" i="2"/>
  <c r="D38" i="2"/>
  <c r="B38" i="2" s="1"/>
  <c r="E38" i="2"/>
  <c r="D39" i="2"/>
  <c r="B39" i="2" s="1"/>
  <c r="E39" i="2"/>
  <c r="D40" i="2"/>
  <c r="B40" i="2" s="1"/>
  <c r="E40" i="2"/>
  <c r="D41" i="2"/>
  <c r="B41" i="2" s="1"/>
  <c r="E41" i="2"/>
  <c r="D42" i="2"/>
  <c r="B42" i="2" s="1"/>
  <c r="E42" i="2"/>
  <c r="D43" i="2"/>
  <c r="B43" i="2" s="1"/>
  <c r="E43" i="2"/>
  <c r="D44" i="2"/>
  <c r="B44" i="2" s="1"/>
  <c r="E44" i="2"/>
  <c r="D45" i="2"/>
  <c r="B45" i="2" s="1"/>
  <c r="E45" i="2"/>
  <c r="D46" i="2"/>
  <c r="B46" i="2" s="1"/>
  <c r="E46" i="2"/>
  <c r="D47" i="2"/>
  <c r="B47" i="2" s="1"/>
  <c r="E47" i="2"/>
  <c r="D48" i="2"/>
  <c r="B48" i="2" s="1"/>
  <c r="E48" i="2"/>
  <c r="D49" i="2"/>
  <c r="B49" i="2" s="1"/>
  <c r="E49" i="2"/>
  <c r="D50" i="2"/>
  <c r="B50" i="2" s="1"/>
  <c r="E50" i="2"/>
  <c r="D51" i="2"/>
  <c r="B51" i="2" s="1"/>
  <c r="E51" i="2"/>
  <c r="D52" i="2"/>
  <c r="B52" i="2" s="1"/>
  <c r="E52" i="2"/>
  <c r="D53" i="2"/>
  <c r="B53" i="2" s="1"/>
  <c r="E53" i="2"/>
  <c r="D54" i="2"/>
  <c r="B54" i="2" s="1"/>
  <c r="E54" i="2"/>
  <c r="D55" i="2"/>
  <c r="B55" i="2" s="1"/>
  <c r="E55" i="2"/>
  <c r="D56" i="2"/>
  <c r="B56" i="2" s="1"/>
  <c r="E56" i="2"/>
  <c r="D57" i="2"/>
  <c r="B57" i="2" s="1"/>
  <c r="E57" i="2"/>
  <c r="D58" i="2"/>
  <c r="B58" i="2" s="1"/>
  <c r="E58" i="2"/>
  <c r="D59" i="2"/>
  <c r="B59" i="2" s="1"/>
  <c r="E59" i="2"/>
  <c r="D60" i="2"/>
  <c r="B60" i="2" s="1"/>
  <c r="E60" i="2"/>
  <c r="D61" i="2"/>
  <c r="B61" i="2" s="1"/>
  <c r="E61" i="2"/>
  <c r="D62" i="2"/>
  <c r="B62" i="2" s="1"/>
  <c r="E62" i="2"/>
  <c r="D63" i="2"/>
  <c r="B63" i="2" s="1"/>
  <c r="E63" i="2"/>
  <c r="D64" i="2"/>
  <c r="B64" i="2" s="1"/>
  <c r="E64" i="2"/>
  <c r="D65" i="2"/>
  <c r="B65" i="2" s="1"/>
  <c r="E65" i="2"/>
  <c r="D66" i="2"/>
  <c r="B66" i="2" s="1"/>
  <c r="E66" i="2"/>
  <c r="D67" i="2"/>
  <c r="B67" i="2" s="1"/>
  <c r="E67" i="2"/>
  <c r="D68" i="2"/>
  <c r="B68" i="2" s="1"/>
  <c r="E68" i="2"/>
  <c r="D69" i="2"/>
  <c r="B69" i="2" s="1"/>
  <c r="E69" i="2"/>
  <c r="D70" i="2"/>
  <c r="B70" i="2" s="1"/>
  <c r="E70" i="2"/>
  <c r="D71" i="2"/>
  <c r="B71" i="2" s="1"/>
  <c r="E71" i="2"/>
  <c r="D72" i="2"/>
  <c r="B72" i="2" s="1"/>
  <c r="E72" i="2"/>
  <c r="D73" i="2"/>
  <c r="B73" i="2" s="1"/>
  <c r="E73" i="2"/>
  <c r="D74" i="2"/>
  <c r="B74" i="2" s="1"/>
  <c r="E74" i="2"/>
  <c r="D75" i="2"/>
  <c r="B75" i="2" s="1"/>
  <c r="E75" i="2"/>
  <c r="D76" i="2"/>
  <c r="B76" i="2" s="1"/>
  <c r="E76" i="2"/>
  <c r="D77" i="2"/>
  <c r="B77" i="2" s="1"/>
  <c r="E77" i="2"/>
  <c r="D78" i="2"/>
  <c r="B78" i="2" s="1"/>
  <c r="E78" i="2"/>
  <c r="D79" i="2"/>
  <c r="B79" i="2" s="1"/>
  <c r="E79" i="2"/>
  <c r="D80" i="2"/>
  <c r="B80" i="2" s="1"/>
  <c r="E80" i="2"/>
  <c r="D81" i="2"/>
  <c r="B81" i="2" s="1"/>
  <c r="E81" i="2"/>
  <c r="D82" i="2"/>
  <c r="B82" i="2" s="1"/>
  <c r="E82" i="2"/>
  <c r="D83" i="2"/>
  <c r="B83" i="2" s="1"/>
  <c r="E83" i="2"/>
  <c r="D84" i="2"/>
  <c r="B84" i="2" s="1"/>
  <c r="E84" i="2"/>
  <c r="D85" i="2"/>
  <c r="B85" i="2" s="1"/>
  <c r="E85" i="2"/>
  <c r="D86" i="2"/>
  <c r="B86" i="2" s="1"/>
  <c r="E86" i="2"/>
  <c r="D87" i="2"/>
  <c r="B87" i="2" s="1"/>
  <c r="E87" i="2"/>
  <c r="D88" i="2"/>
  <c r="B88" i="2" s="1"/>
  <c r="E88" i="2"/>
  <c r="D89" i="2"/>
  <c r="B89" i="2" s="1"/>
  <c r="E89" i="2"/>
  <c r="D90" i="2"/>
  <c r="B90" i="2" s="1"/>
  <c r="E90" i="2"/>
  <c r="D91" i="2"/>
  <c r="B91" i="2" s="1"/>
  <c r="E91" i="2"/>
  <c r="D92" i="2"/>
  <c r="B92" i="2" s="1"/>
  <c r="E92" i="2"/>
  <c r="D93" i="2"/>
  <c r="B93" i="2" s="1"/>
  <c r="E93" i="2"/>
  <c r="D94" i="2"/>
  <c r="B94" i="2" s="1"/>
  <c r="E94" i="2"/>
  <c r="D95" i="2"/>
  <c r="B95" i="2" s="1"/>
  <c r="E95" i="2"/>
  <c r="D96" i="2"/>
  <c r="B96" i="2" s="1"/>
  <c r="E96" i="2"/>
  <c r="D97" i="2"/>
  <c r="B97" i="2" s="1"/>
  <c r="E97" i="2"/>
  <c r="D98" i="2"/>
  <c r="B98" i="2" s="1"/>
  <c r="E98" i="2"/>
  <c r="D99" i="2"/>
  <c r="B99" i="2" s="1"/>
  <c r="E99" i="2"/>
  <c r="D100" i="2"/>
  <c r="B100" i="2" s="1"/>
  <c r="E100" i="2"/>
  <c r="D101" i="2"/>
  <c r="B101" i="2" s="1"/>
  <c r="E101" i="2"/>
  <c r="D102" i="2"/>
  <c r="B102" i="2" s="1"/>
  <c r="E102" i="2"/>
  <c r="D103" i="2"/>
  <c r="B103" i="2" s="1"/>
  <c r="E103" i="2"/>
  <c r="D104" i="2"/>
  <c r="B104" i="2" s="1"/>
  <c r="E104" i="2"/>
  <c r="D105" i="2"/>
  <c r="B105" i="2" s="1"/>
  <c r="E105" i="2"/>
  <c r="D6" i="2"/>
  <c r="B6" i="2" s="1"/>
  <c r="E6" i="2"/>
  <c r="E5" i="2"/>
  <c r="D5" i="2"/>
  <c r="B5" i="2" s="1"/>
  <c r="F19" i="2" l="1"/>
  <c r="F7" i="2"/>
  <c r="F97" i="2"/>
  <c r="F55" i="2"/>
  <c r="F43" i="2"/>
  <c r="F35" i="2"/>
  <c r="F40" i="2"/>
  <c r="F31" i="2"/>
  <c r="F64" i="2"/>
  <c r="F105" i="2"/>
  <c r="F103" i="2"/>
  <c r="F63" i="2"/>
  <c r="F39" i="2"/>
  <c r="F52" i="2"/>
  <c r="F98" i="2"/>
  <c r="F86" i="2"/>
  <c r="F62" i="2"/>
  <c r="F50" i="2"/>
  <c r="F15" i="2"/>
  <c r="F11" i="2"/>
  <c r="F10" i="2"/>
  <c r="F104" i="2"/>
  <c r="F80" i="2"/>
  <c r="F68" i="2"/>
  <c r="F56" i="2"/>
  <c r="F95" i="2"/>
  <c r="F71" i="2"/>
  <c r="F47" i="2"/>
  <c r="F23" i="2"/>
  <c r="F6" i="2"/>
  <c r="F44" i="2"/>
  <c r="F96" i="2"/>
  <c r="F92" i="2"/>
  <c r="F72" i="2"/>
  <c r="F48" i="2"/>
  <c r="F57" i="2"/>
  <c r="F27" i="2"/>
  <c r="F100" i="2"/>
  <c r="F88" i="2"/>
  <c r="F84" i="2"/>
  <c r="F102" i="2"/>
  <c r="F90" i="2"/>
  <c r="F78" i="2"/>
  <c r="F66" i="2"/>
  <c r="F42" i="2"/>
  <c r="F94" i="2"/>
  <c r="F46" i="2"/>
  <c r="F51" i="2"/>
  <c r="F60" i="2"/>
  <c r="F67" i="2"/>
  <c r="F76" i="2"/>
  <c r="F101" i="2"/>
  <c r="F8" i="2"/>
  <c r="F12" i="2"/>
  <c r="F16" i="2"/>
  <c r="F20" i="2"/>
  <c r="F24" i="2"/>
  <c r="F28" i="2"/>
  <c r="F32" i="2"/>
  <c r="F36" i="2"/>
  <c r="F54" i="2"/>
  <c r="F61" i="2"/>
  <c r="F70" i="2"/>
  <c r="F82" i="2"/>
  <c r="F99" i="2"/>
  <c r="F9" i="2"/>
  <c r="F13" i="2"/>
  <c r="F17" i="2"/>
  <c r="F21" i="2"/>
  <c r="F25" i="2"/>
  <c r="F29" i="2"/>
  <c r="F33" i="2"/>
  <c r="F37" i="2"/>
  <c r="F41" i="2"/>
  <c r="F45" i="2"/>
  <c r="F49" i="2"/>
  <c r="F58" i="2"/>
  <c r="F65" i="2"/>
  <c r="F74" i="2"/>
  <c r="F59" i="2"/>
  <c r="F14" i="2"/>
  <c r="F18" i="2"/>
  <c r="F22" i="2"/>
  <c r="F26" i="2"/>
  <c r="F30" i="2"/>
  <c r="F34" i="2"/>
  <c r="F38" i="2"/>
  <c r="F53" i="2"/>
  <c r="F69" i="2"/>
  <c r="F73" i="2"/>
  <c r="F75" i="2"/>
  <c r="F77" i="2"/>
  <c r="F79" i="2"/>
  <c r="F81" i="2"/>
  <c r="F83" i="2"/>
  <c r="F85" i="2"/>
  <c r="F87" i="2"/>
  <c r="F89" i="2"/>
  <c r="F91" i="2"/>
  <c r="F93" i="2"/>
  <c r="F5" i="2"/>
  <c r="B43" i="3"/>
  <c r="B42" i="3"/>
  <c r="G7" i="3"/>
  <c r="I8" i="3" s="1"/>
  <c r="H7" i="3"/>
  <c r="L7" i="3"/>
  <c r="M7" i="3"/>
  <c r="D8" i="3"/>
  <c r="J8" i="3"/>
  <c r="L8" i="3"/>
  <c r="M8" i="3"/>
  <c r="D9" i="3"/>
  <c r="L9" i="3"/>
  <c r="M9" i="3"/>
  <c r="D10" i="3"/>
  <c r="L10" i="3"/>
  <c r="M10" i="3"/>
  <c r="D11" i="3"/>
  <c r="L11" i="3"/>
  <c r="M11" i="3"/>
  <c r="D12" i="3"/>
  <c r="L12" i="3"/>
  <c r="M12" i="3"/>
  <c r="D13" i="3"/>
  <c r="L13" i="3"/>
  <c r="M13" i="3"/>
  <c r="D14" i="3"/>
  <c r="L14" i="3"/>
  <c r="M14" i="3"/>
  <c r="D15" i="3"/>
  <c r="L15" i="3"/>
  <c r="M15" i="3"/>
  <c r="D16" i="3"/>
  <c r="L16" i="3"/>
  <c r="M16" i="3"/>
  <c r="D17" i="3"/>
  <c r="L17" i="3"/>
  <c r="M17" i="3"/>
  <c r="L18" i="3"/>
  <c r="M18" i="3"/>
  <c r="B29" i="3"/>
  <c r="B30" i="3"/>
  <c r="B31" i="3"/>
  <c r="L29" i="3"/>
  <c r="B32" i="3"/>
  <c r="L30" i="3"/>
  <c r="B33" i="3"/>
  <c r="L31" i="3"/>
  <c r="B34" i="3"/>
  <c r="L32" i="3"/>
  <c r="B35" i="3"/>
  <c r="L33" i="3"/>
  <c r="B36" i="3"/>
  <c r="L34" i="3"/>
  <c r="B37" i="3"/>
  <c r="L35" i="3"/>
  <c r="B38" i="3"/>
  <c r="L36" i="3"/>
  <c r="B39" i="3"/>
  <c r="L37" i="3"/>
  <c r="L38" i="3"/>
  <c r="L39" i="3"/>
  <c r="L40" i="3"/>
  <c r="T7" i="3" l="1"/>
  <c r="F29" i="3"/>
  <c r="U8" i="3"/>
  <c r="E29" i="3"/>
  <c r="H8" i="3"/>
  <c r="N8" i="3"/>
  <c r="F30" i="3"/>
  <c r="N7" i="3"/>
  <c r="J30" i="3"/>
  <c r="G8" i="3"/>
  <c r="I29" i="3"/>
  <c r="V7" i="3" l="1"/>
  <c r="E30" i="3"/>
  <c r="T8" i="3"/>
  <c r="J9" i="3"/>
  <c r="E31" i="3"/>
  <c r="I30" i="3"/>
  <c r="J31" i="3"/>
  <c r="G9" i="3"/>
  <c r="N9" i="3" l="1"/>
  <c r="U9" i="3"/>
  <c r="V8" i="3" s="1"/>
  <c r="H9" i="3"/>
  <c r="F31" i="3"/>
  <c r="F32" i="3"/>
  <c r="I31" i="3"/>
  <c r="G10" i="3"/>
  <c r="J32" i="3"/>
  <c r="J10" i="3" l="1"/>
  <c r="U10" i="3" s="1"/>
  <c r="T9" i="3"/>
  <c r="E32" i="3"/>
  <c r="E33" i="3"/>
  <c r="J33" i="3"/>
  <c r="G11" i="3"/>
  <c r="I32" i="3"/>
  <c r="V9" i="3" l="1"/>
  <c r="N10" i="3"/>
  <c r="F34" i="3"/>
  <c r="H10" i="3"/>
  <c r="T10" i="3" s="1"/>
  <c r="F33" i="3"/>
  <c r="I33" i="3"/>
  <c r="J34" i="3"/>
  <c r="G12" i="3"/>
  <c r="E35" i="3" l="1"/>
  <c r="J11" i="3"/>
  <c r="E34" i="3"/>
  <c r="I34" i="3"/>
  <c r="J35" i="3"/>
  <c r="G13" i="3"/>
  <c r="U11" i="3" l="1"/>
  <c r="V10" i="3" s="1"/>
  <c r="N11" i="3"/>
  <c r="F35" i="3"/>
  <c r="H11" i="3"/>
  <c r="F36" i="3"/>
  <c r="I35" i="3"/>
  <c r="J36" i="3"/>
  <c r="G14" i="3"/>
  <c r="E37" i="3" l="1"/>
  <c r="E36" i="3"/>
  <c r="T11" i="3"/>
  <c r="J12" i="3"/>
  <c r="J37" i="3"/>
  <c r="G15" i="3"/>
  <c r="I36" i="3"/>
  <c r="U12" i="3" l="1"/>
  <c r="V11" i="3" s="1"/>
  <c r="F38" i="3"/>
  <c r="H12" i="3"/>
  <c r="F37" i="3"/>
  <c r="N12" i="3"/>
  <c r="G16" i="3"/>
  <c r="J38" i="3"/>
  <c r="I37" i="3"/>
  <c r="T12" i="3" l="1"/>
  <c r="E39" i="3"/>
  <c r="E38" i="3"/>
  <c r="J13" i="3"/>
  <c r="J39" i="3"/>
  <c r="J40" i="3"/>
  <c r="I38" i="3"/>
  <c r="U13" i="3" l="1"/>
  <c r="N13" i="3"/>
  <c r="F40" i="3"/>
  <c r="H13" i="3"/>
  <c r="J14" i="3" s="1"/>
  <c r="F39" i="3"/>
  <c r="G17" i="3"/>
  <c r="G18" i="3" s="1"/>
  <c r="E41" i="3" l="1"/>
  <c r="T13" i="3"/>
  <c r="E40" i="3"/>
  <c r="U14" i="3"/>
  <c r="H14" i="3"/>
  <c r="J15" i="3" s="1"/>
  <c r="F41" i="3"/>
  <c r="N14" i="3"/>
  <c r="F42" i="3"/>
  <c r="I39" i="3"/>
  <c r="I40" i="3"/>
  <c r="H19" i="3"/>
  <c r="F51" i="3" s="1"/>
  <c r="V13" i="3" l="1"/>
  <c r="U15" i="3"/>
  <c r="N15" i="3"/>
  <c r="F43" i="3"/>
  <c r="H15" i="3"/>
  <c r="J16" i="3" s="1"/>
  <c r="F44" i="3"/>
  <c r="T14" i="3"/>
  <c r="E42" i="3"/>
  <c r="E43" i="3"/>
  <c r="V14" i="3" l="1"/>
  <c r="U16" i="3"/>
  <c r="F46" i="3"/>
  <c r="F45" i="3"/>
  <c r="N16" i="3"/>
  <c r="H16" i="3"/>
  <c r="J17" i="3" s="1"/>
  <c r="E44" i="3"/>
  <c r="E45" i="3"/>
  <c r="T15" i="3"/>
  <c r="V15" i="3" l="1"/>
  <c r="U17" i="3"/>
  <c r="F47" i="3"/>
  <c r="F48" i="3"/>
  <c r="H17" i="3"/>
  <c r="N17" i="3"/>
  <c r="T16" i="3"/>
  <c r="E47" i="3"/>
  <c r="E46" i="3"/>
  <c r="V16" i="3" l="1"/>
  <c r="T17" i="3"/>
  <c r="E48" i="3"/>
  <c r="E49" i="3"/>
  <c r="J18" i="3"/>
  <c r="U18" i="3" l="1"/>
  <c r="V17" i="3" s="1"/>
  <c r="N18" i="3"/>
  <c r="F49" i="3"/>
  <c r="F50" i="3"/>
  <c r="H18" i="3"/>
  <c r="T18" i="3" l="1"/>
  <c r="V18" i="3" s="1"/>
  <c r="C35" i="3"/>
  <c r="C33" i="3"/>
  <c r="C29" i="3"/>
  <c r="E50" i="3"/>
  <c r="C30" i="3"/>
  <c r="C36" i="3"/>
  <c r="C37" i="3"/>
  <c r="E51" i="3"/>
  <c r="C31" i="3"/>
  <c r="C34" i="3"/>
  <c r="C39" i="3"/>
  <c r="H20" i="3"/>
  <c r="C38" i="3"/>
  <c r="C32" i="3"/>
  <c r="D15" i="25"/>
  <c r="D16" i="25"/>
  <c r="J19" i="25"/>
  <c r="G17" i="25" s="1"/>
  <c r="V12" i="3" s="1"/>
</calcChain>
</file>

<file path=xl/sharedStrings.xml><?xml version="1.0" encoding="utf-8"?>
<sst xmlns="http://schemas.openxmlformats.org/spreadsheetml/2006/main" count="515" uniqueCount="179">
  <si>
    <t>12</t>
  </si>
  <si>
    <t>Stage</t>
  </si>
  <si>
    <t>Profiles</t>
  </si>
  <si>
    <t>x</t>
  </si>
  <si>
    <t>y</t>
  </si>
  <si>
    <t>Antoine Constants</t>
  </si>
  <si>
    <t>Benzene</t>
  </si>
  <si>
    <t>Toluene</t>
  </si>
  <si>
    <t>A</t>
  </si>
  <si>
    <t>B</t>
  </si>
  <si>
    <t>C</t>
  </si>
  <si>
    <t>BP</t>
  </si>
  <si>
    <t>T</t>
  </si>
  <si>
    <t>Total Cond</t>
    <phoneticPr fontId="1" type="noConversion"/>
  </si>
  <si>
    <t>Reboiler</t>
    <phoneticPr fontId="1" type="noConversion"/>
  </si>
  <si>
    <t>R =</t>
    <phoneticPr fontId="1" type="noConversion"/>
  </si>
  <si>
    <t>P (mm Hg) =</t>
    <phoneticPr fontId="1" type="noConversion"/>
  </si>
  <si>
    <t>Operating Lines</t>
    <phoneticPr fontId="1" type="noConversion"/>
  </si>
  <si>
    <t>x</t>
    <phoneticPr fontId="1" type="noConversion"/>
  </si>
  <si>
    <t>L</t>
  </si>
  <si>
    <t>V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</si>
  <si>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</si>
  <si>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</si>
  <si>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</si>
  <si>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</si>
  <si>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</si>
  <si>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</si>
  <si>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</si>
  <si>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</si>
  <si>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</si>
  <si>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</si>
  <si>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</si>
  <si>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BP/DP</t>
  </si>
  <si>
    <t>y (BOL)</t>
  </si>
  <si>
    <t>y (TOL)</t>
  </si>
  <si>
    <t>Feed Line</t>
  </si>
  <si>
    <t>McCabe-Thiele</t>
  </si>
  <si>
    <t>Specified or found by iteration</t>
  </si>
  <si>
    <t>Calculations</t>
  </si>
  <si>
    <t>F (mol)</t>
  </si>
  <si>
    <t>z (mol B/mol)</t>
  </si>
  <si>
    <t>Fz (mol B)</t>
  </si>
  <si>
    <t>D (mol)</t>
  </si>
  <si>
    <t>L (mol)</t>
  </si>
  <si>
    <t>x (mol B/mol)</t>
  </si>
  <si>
    <t>V (mol)</t>
  </si>
  <si>
    <t>y (mol B/mol)</t>
  </si>
  <si>
    <t>Instructions:</t>
  </si>
  <si>
    <t>1) Select the pressure. Most examples are for 1 atm = 760 mm Hg.</t>
  </si>
  <si>
    <t>2) Run Solver to make the BP criteria equal to zero. The cell contains</t>
  </si>
  <si>
    <r>
      <t xml:space="preserve">    P - p</t>
    </r>
    <r>
      <rPr>
        <vertAlign val="subscript"/>
        <sz val="16"/>
        <rFont val="Verdana"/>
        <family val="2"/>
      </rPr>
      <t>B</t>
    </r>
    <r>
      <rPr>
        <sz val="16"/>
        <rFont val="Verdana"/>
        <family val="2"/>
      </rPr>
      <t xml:space="preserve"> x</t>
    </r>
    <r>
      <rPr>
        <vertAlign val="subscript"/>
        <sz val="16"/>
        <rFont val="Verdana"/>
        <family val="2"/>
      </rPr>
      <t>B</t>
    </r>
    <r>
      <rPr>
        <sz val="16"/>
        <rFont val="Verdana"/>
        <family val="2"/>
      </rPr>
      <t xml:space="preserve"> - p</t>
    </r>
    <r>
      <rPr>
        <vertAlign val="subscript"/>
        <sz val="16"/>
        <rFont val="Verdana"/>
        <family val="2"/>
      </rPr>
      <t>T</t>
    </r>
    <r>
      <rPr>
        <sz val="16"/>
        <rFont val="Verdana"/>
        <family val="2"/>
      </rPr>
      <t xml:space="preserve"> (1-x</t>
    </r>
    <r>
      <rPr>
        <vertAlign val="subscript"/>
        <sz val="16"/>
        <rFont val="Verdana"/>
        <family val="2"/>
      </rPr>
      <t>B</t>
    </r>
    <r>
      <rPr>
        <sz val="16"/>
        <rFont val="Verdana"/>
        <family val="2"/>
      </rPr>
      <t>).</t>
    </r>
  </si>
  <si>
    <t>3) The following are set and don't need to be changed:</t>
  </si>
  <si>
    <t xml:space="preserve">    x is set from 0 to 1 by 0.01.</t>
  </si>
  <si>
    <r>
      <t xml:space="preserve">    y = p</t>
    </r>
    <r>
      <rPr>
        <vertAlign val="subscript"/>
        <sz val="16"/>
        <rFont val="Verdana"/>
        <family val="2"/>
      </rPr>
      <t>B</t>
    </r>
    <r>
      <rPr>
        <sz val="16"/>
        <rFont val="Verdana"/>
        <family val="2"/>
      </rPr>
      <t xml:space="preserve"> x</t>
    </r>
    <r>
      <rPr>
        <vertAlign val="subscript"/>
        <sz val="16"/>
        <rFont val="Verdana"/>
        <family val="2"/>
      </rPr>
      <t>B</t>
    </r>
    <r>
      <rPr>
        <sz val="16"/>
        <rFont val="Verdana"/>
        <family val="2"/>
      </rPr>
      <t>/P</t>
    </r>
  </si>
  <si>
    <t xml:space="preserve">    T is found by iteration of BP</t>
  </si>
  <si>
    <r>
      <t xml:space="preserve">    p</t>
    </r>
    <r>
      <rPr>
        <vertAlign val="subscript"/>
        <sz val="16"/>
        <rFont val="Verdana"/>
        <family val="2"/>
      </rPr>
      <t>B</t>
    </r>
    <r>
      <rPr>
        <sz val="16"/>
        <rFont val="Verdana"/>
        <family val="2"/>
      </rPr>
      <t xml:space="preserve"> and p</t>
    </r>
    <r>
      <rPr>
        <vertAlign val="subscript"/>
        <sz val="16"/>
        <rFont val="Verdana"/>
        <family val="2"/>
      </rPr>
      <t>T</t>
    </r>
    <r>
      <rPr>
        <sz val="16"/>
        <rFont val="Verdana"/>
        <family val="2"/>
      </rPr>
      <t xml:space="preserve"> are the partial pressures at T using Antoine's Eq.</t>
    </r>
  </si>
  <si>
    <t>P (mm Hg) =</t>
  </si>
  <si>
    <t xml:space="preserve">T </t>
  </si>
  <si>
    <r>
      <t>p</t>
    </r>
    <r>
      <rPr>
        <vertAlign val="subscript"/>
        <sz val="16"/>
        <rFont val="Verdana"/>
        <family val="2"/>
      </rPr>
      <t>B</t>
    </r>
  </si>
  <si>
    <r>
      <t>p</t>
    </r>
    <r>
      <rPr>
        <vertAlign val="subscript"/>
        <sz val="16"/>
        <rFont val="Verdana"/>
        <family val="2"/>
      </rPr>
      <t>T</t>
    </r>
  </si>
  <si>
    <t>(mol B/mol)</t>
  </si>
  <si>
    <r>
      <t>(</t>
    </r>
    <r>
      <rPr>
        <vertAlign val="superscript"/>
        <sz val="16"/>
        <rFont val="Verdana"/>
        <family val="2"/>
      </rPr>
      <t>o</t>
    </r>
    <r>
      <rPr>
        <sz val="16"/>
        <rFont val="Verdana"/>
        <family val="2"/>
      </rPr>
      <t>C)</t>
    </r>
  </si>
  <si>
    <t>(mm Hg)</t>
  </si>
  <si>
    <t>4) If you change pressure, you will need to adjust T axis on TXY VLE.</t>
  </si>
  <si>
    <t>D =</t>
  </si>
  <si>
    <t>MW</t>
  </si>
  <si>
    <t>V (L/mol)</t>
  </si>
  <si>
    <t>a</t>
  </si>
  <si>
    <t>b</t>
  </si>
  <si>
    <t>c</t>
  </si>
  <si>
    <t>d</t>
  </si>
  <si>
    <t>Q (kJ)</t>
  </si>
  <si>
    <t>---</t>
  </si>
  <si>
    <t>Feed</t>
  </si>
  <si>
    <t>Rigorous Solution Method</t>
  </si>
  <si>
    <t>ChemCAD</t>
  </si>
  <si>
    <t>superheated?</t>
  </si>
  <si>
    <t>subcooled?</t>
  </si>
  <si>
    <t>mixed?</t>
  </si>
  <si>
    <t>F (mol) =</t>
  </si>
  <si>
    <t xml:space="preserve">z (mol B/mol) = </t>
  </si>
  <si>
    <t xml:space="preserve">P (mm Hg) = </t>
  </si>
  <si>
    <t xml:space="preserve">x (mol B/mol) = </t>
  </si>
  <si>
    <t xml:space="preserve">y (mol B/mol) = </t>
  </si>
  <si>
    <t>L (mol) =</t>
  </si>
  <si>
    <t>V (mol) =</t>
  </si>
  <si>
    <t>y (mol B/mol) =</t>
  </si>
  <si>
    <t>x (mol B/mol =</t>
  </si>
  <si>
    <t>Sums</t>
  </si>
  <si>
    <r>
      <t>T (</t>
    </r>
    <r>
      <rPr>
        <b/>
        <vertAlign val="superscript"/>
        <sz val="16"/>
        <color theme="1"/>
        <rFont val="Calibri"/>
        <family val="2"/>
        <scheme val="minor"/>
      </rPr>
      <t>o</t>
    </r>
    <r>
      <rPr>
        <b/>
        <sz val="16"/>
        <color theme="1"/>
        <rFont val="Calibri"/>
        <family val="2"/>
        <scheme val="minor"/>
      </rPr>
      <t>C)</t>
    </r>
  </si>
  <si>
    <r>
      <t>x</t>
    </r>
    <r>
      <rPr>
        <b/>
        <vertAlign val="subscript"/>
        <sz val="16"/>
        <rFont val="Calibri"/>
        <family val="2"/>
        <scheme val="minor"/>
      </rPr>
      <t xml:space="preserve">D </t>
    </r>
    <r>
      <rPr>
        <b/>
        <sz val="16"/>
        <rFont val="Calibri"/>
        <family val="2"/>
        <scheme val="minor"/>
      </rPr>
      <t>(mol B/mol)</t>
    </r>
  </si>
  <si>
    <r>
      <t>T (</t>
    </r>
    <r>
      <rPr>
        <b/>
        <vertAlign val="superscript"/>
        <sz val="16"/>
        <rFont val="Calibri"/>
        <family val="2"/>
        <scheme val="minor"/>
      </rPr>
      <t>o</t>
    </r>
    <r>
      <rPr>
        <b/>
        <sz val="16"/>
        <rFont val="Calibri"/>
        <family val="2"/>
        <scheme val="minor"/>
      </rPr>
      <t>C)</t>
    </r>
  </si>
  <si>
    <r>
      <t>K</t>
    </r>
    <r>
      <rPr>
        <b/>
        <vertAlign val="subscript"/>
        <sz val="16"/>
        <rFont val="Calibri"/>
        <family val="2"/>
        <scheme val="minor"/>
      </rPr>
      <t>B</t>
    </r>
  </si>
  <si>
    <r>
      <t>K</t>
    </r>
    <r>
      <rPr>
        <b/>
        <vertAlign val="subscript"/>
        <sz val="16"/>
        <rFont val="Calibri"/>
        <family val="2"/>
        <scheme val="minor"/>
      </rPr>
      <t>T</t>
    </r>
  </si>
  <si>
    <r>
      <t>H</t>
    </r>
    <r>
      <rPr>
        <b/>
        <vertAlign val="subscript"/>
        <sz val="16"/>
        <rFont val="Calibri"/>
        <family val="2"/>
        <scheme val="minor"/>
      </rPr>
      <t xml:space="preserve">BL </t>
    </r>
    <r>
      <rPr>
        <b/>
        <sz val="16"/>
        <rFont val="Calibri"/>
        <family val="2"/>
        <scheme val="minor"/>
      </rPr>
      <t>(kJ/mol)</t>
    </r>
  </si>
  <si>
    <r>
      <t>H</t>
    </r>
    <r>
      <rPr>
        <b/>
        <vertAlign val="subscript"/>
        <sz val="16"/>
        <rFont val="Calibri"/>
        <family val="2"/>
        <scheme val="minor"/>
      </rPr>
      <t xml:space="preserve">TL </t>
    </r>
    <r>
      <rPr>
        <b/>
        <sz val="16"/>
        <rFont val="Calibri"/>
        <family val="2"/>
        <scheme val="minor"/>
      </rPr>
      <t>(kJ/mol)</t>
    </r>
  </si>
  <si>
    <r>
      <t>H</t>
    </r>
    <r>
      <rPr>
        <b/>
        <vertAlign val="subscript"/>
        <sz val="16"/>
        <rFont val="Calibri"/>
        <family val="2"/>
        <scheme val="minor"/>
      </rPr>
      <t xml:space="preserve">BV </t>
    </r>
    <r>
      <rPr>
        <b/>
        <sz val="16"/>
        <rFont val="Calibri"/>
        <family val="2"/>
        <scheme val="minor"/>
      </rPr>
      <t>(kJ/mol)</t>
    </r>
  </si>
  <si>
    <r>
      <t>H</t>
    </r>
    <r>
      <rPr>
        <b/>
        <vertAlign val="subscript"/>
        <sz val="16"/>
        <rFont val="Calibri"/>
        <family val="2"/>
        <scheme val="minor"/>
      </rPr>
      <t xml:space="preserve">TV </t>
    </r>
    <r>
      <rPr>
        <b/>
        <sz val="16"/>
        <rFont val="Calibri"/>
        <family val="2"/>
        <scheme val="minor"/>
      </rPr>
      <t>(kJ/mol)</t>
    </r>
  </si>
  <si>
    <r>
      <t>H</t>
    </r>
    <r>
      <rPr>
        <b/>
        <vertAlign val="subscript"/>
        <sz val="16"/>
        <rFont val="Calibri"/>
        <family val="2"/>
        <scheme val="minor"/>
      </rPr>
      <t>F</t>
    </r>
    <r>
      <rPr>
        <b/>
        <sz val="16"/>
        <rFont val="Calibri"/>
        <family val="2"/>
        <scheme val="minor"/>
      </rPr>
      <t xml:space="preserve"> (kJ)</t>
    </r>
  </si>
  <si>
    <r>
      <t>H</t>
    </r>
    <r>
      <rPr>
        <b/>
        <vertAlign val="subscript"/>
        <sz val="16"/>
        <rFont val="Calibri"/>
        <family val="2"/>
        <scheme val="minor"/>
      </rPr>
      <t xml:space="preserve">Li </t>
    </r>
    <r>
      <rPr>
        <b/>
        <sz val="16"/>
        <rFont val="Calibri"/>
        <family val="2"/>
        <scheme val="minor"/>
      </rPr>
      <t>(kJ)</t>
    </r>
  </si>
  <si>
    <r>
      <t>H</t>
    </r>
    <r>
      <rPr>
        <b/>
        <vertAlign val="subscript"/>
        <sz val="16"/>
        <rFont val="Calibri"/>
        <family val="2"/>
        <scheme val="minor"/>
      </rPr>
      <t xml:space="preserve">vi </t>
    </r>
    <r>
      <rPr>
        <b/>
        <sz val="16"/>
        <rFont val="Calibri"/>
        <family val="2"/>
        <scheme val="minor"/>
      </rPr>
      <t>(kJ)</t>
    </r>
  </si>
  <si>
    <r>
      <t>X</t>
    </r>
    <r>
      <rPr>
        <b/>
        <vertAlign val="subscript"/>
        <sz val="16"/>
        <rFont val="Calibri"/>
        <family val="2"/>
        <scheme val="minor"/>
      </rPr>
      <t>R</t>
    </r>
    <r>
      <rPr>
        <b/>
        <sz val="16"/>
        <rFont val="Calibri"/>
        <family val="2"/>
        <scheme val="minor"/>
      </rPr>
      <t xml:space="preserve"> by Overall Mol Bal</t>
    </r>
  </si>
  <si>
    <r>
      <t>Vapor C</t>
    </r>
    <r>
      <rPr>
        <b/>
        <vertAlign val="subscript"/>
        <sz val="16"/>
        <color theme="1"/>
        <rFont val="Calibri"/>
        <family val="2"/>
        <scheme val="minor"/>
      </rPr>
      <t>p</t>
    </r>
    <r>
      <rPr>
        <b/>
        <sz val="16"/>
        <color theme="1"/>
        <rFont val="Calibri"/>
        <family val="2"/>
        <scheme val="minor"/>
      </rPr>
      <t xml:space="preserve"> (kJ/mol </t>
    </r>
    <r>
      <rPr>
        <b/>
        <vertAlign val="superscript"/>
        <sz val="16"/>
        <color theme="1"/>
        <rFont val="Calibri"/>
        <family val="2"/>
        <scheme val="minor"/>
      </rPr>
      <t>o</t>
    </r>
    <r>
      <rPr>
        <b/>
        <sz val="16"/>
        <color theme="1"/>
        <rFont val="Calibri"/>
        <family val="2"/>
        <scheme val="minor"/>
      </rPr>
      <t>C)</t>
    </r>
  </si>
  <si>
    <r>
      <t>Liquid C</t>
    </r>
    <r>
      <rPr>
        <b/>
        <vertAlign val="subscript"/>
        <sz val="16"/>
        <color theme="1"/>
        <rFont val="Calibri"/>
        <family val="2"/>
        <scheme val="minor"/>
      </rPr>
      <t>p</t>
    </r>
    <r>
      <rPr>
        <b/>
        <sz val="16"/>
        <color theme="1"/>
        <rFont val="Calibri"/>
        <family val="2"/>
        <scheme val="minor"/>
      </rPr>
      <t xml:space="preserve"> (kJ/mol </t>
    </r>
    <r>
      <rPr>
        <b/>
        <vertAlign val="superscript"/>
        <sz val="16"/>
        <color theme="1"/>
        <rFont val="Calibri"/>
        <family val="2"/>
        <scheme val="minor"/>
      </rPr>
      <t>o</t>
    </r>
    <r>
      <rPr>
        <b/>
        <sz val="16"/>
        <color theme="1"/>
        <rFont val="Calibri"/>
        <family val="2"/>
        <scheme val="minor"/>
      </rPr>
      <t>C)</t>
    </r>
  </si>
  <si>
    <r>
      <t>T</t>
    </r>
    <r>
      <rPr>
        <b/>
        <vertAlign val="subscript"/>
        <sz val="16"/>
        <color theme="1"/>
        <rFont val="Calibri"/>
        <family val="2"/>
        <scheme val="minor"/>
      </rPr>
      <t>B</t>
    </r>
    <r>
      <rPr>
        <b/>
        <sz val="16"/>
        <color theme="1"/>
        <rFont val="Calibri"/>
        <family val="2"/>
        <scheme val="minor"/>
      </rPr>
      <t xml:space="preserve"> (</t>
    </r>
    <r>
      <rPr>
        <b/>
        <vertAlign val="superscript"/>
        <sz val="16"/>
        <color theme="1"/>
        <rFont val="Calibri"/>
        <family val="2"/>
        <scheme val="minor"/>
      </rPr>
      <t>o</t>
    </r>
    <r>
      <rPr>
        <b/>
        <sz val="16"/>
        <color theme="1"/>
        <rFont val="Calibri"/>
        <family val="2"/>
        <scheme val="minor"/>
      </rPr>
      <t>C)</t>
    </r>
  </si>
  <si>
    <r>
      <t>H</t>
    </r>
    <r>
      <rPr>
        <b/>
        <vertAlign val="subscript"/>
        <sz val="16"/>
        <color theme="1"/>
        <rFont val="Calibri"/>
        <family val="2"/>
        <scheme val="minor"/>
      </rPr>
      <t>vap</t>
    </r>
    <r>
      <rPr>
        <b/>
        <sz val="16"/>
        <color theme="1"/>
        <rFont val="Calibri"/>
        <family val="2"/>
        <scheme val="minor"/>
      </rPr>
      <t xml:space="preserve"> (kJ/mol)</t>
    </r>
  </si>
  <si>
    <r>
      <rPr>
        <b/>
        <sz val="16"/>
        <color theme="1"/>
        <rFont val="Symbol"/>
        <family val="1"/>
        <charset val="2"/>
      </rPr>
      <t>r</t>
    </r>
    <r>
      <rPr>
        <b/>
        <sz val="16"/>
        <color theme="1"/>
        <rFont val="Calibri"/>
        <family val="2"/>
        <scheme val="minor"/>
      </rPr>
      <t xml:space="preserve"> (kg/m</t>
    </r>
    <r>
      <rPr>
        <b/>
        <vertAlign val="superscript"/>
        <sz val="16"/>
        <color theme="1"/>
        <rFont val="Calibri"/>
        <family val="2"/>
        <scheme val="minor"/>
      </rPr>
      <t>3</t>
    </r>
    <r>
      <rPr>
        <b/>
        <sz val="16"/>
        <color theme="1"/>
        <rFont val="Calibri"/>
        <family val="2"/>
        <scheme val="minor"/>
      </rPr>
      <t>)</t>
    </r>
  </si>
  <si>
    <r>
      <t>45</t>
    </r>
    <r>
      <rPr>
        <b/>
        <vertAlign val="superscript"/>
        <sz val="16"/>
        <rFont val="Calibri"/>
        <family val="2"/>
        <scheme val="minor"/>
      </rPr>
      <t>o</t>
    </r>
    <r>
      <rPr>
        <b/>
        <sz val="16"/>
        <rFont val="Calibri"/>
        <family val="2"/>
        <scheme val="minor"/>
      </rPr>
      <t xml:space="preserve"> Line</t>
    </r>
  </si>
  <si>
    <t xml:space="preserve">  Go to "Flash" page to calculate the feed enthalpy. Follow instructions on that page. </t>
  </si>
  <si>
    <t>Data from Rigorous Page</t>
  </si>
  <si>
    <r>
      <t xml:space="preserve">  Come back to this page and run Solver. It will find V, T, and D or x</t>
    </r>
    <r>
      <rPr>
        <b/>
        <vertAlign val="subscript"/>
        <sz val="20"/>
        <rFont val="Calibri"/>
        <family val="2"/>
        <scheme val="minor"/>
      </rPr>
      <t>D</t>
    </r>
    <r>
      <rPr>
        <b/>
        <sz val="20"/>
        <rFont val="Calibri"/>
        <family val="2"/>
        <scheme val="minor"/>
      </rPr>
      <t xml:space="preserve"> values by iteration. </t>
    </r>
  </si>
  <si>
    <r>
      <t xml:space="preserve">  Instructions: In a standard experiment, specify R, F, z, T</t>
    </r>
    <r>
      <rPr>
        <b/>
        <vertAlign val="subscript"/>
        <sz val="20"/>
        <rFont val="Calibri"/>
        <family val="2"/>
        <scheme val="minor"/>
      </rPr>
      <t>F</t>
    </r>
    <r>
      <rPr>
        <b/>
        <sz val="20"/>
        <rFont val="Calibri"/>
        <family val="2"/>
        <scheme val="minor"/>
      </rPr>
      <t>, the feed stage, and either D or x</t>
    </r>
    <r>
      <rPr>
        <b/>
        <vertAlign val="subscript"/>
        <sz val="20"/>
        <rFont val="Calibri"/>
        <family val="2"/>
        <scheme val="minor"/>
      </rPr>
      <t>D</t>
    </r>
    <r>
      <rPr>
        <b/>
        <sz val="20"/>
        <rFont val="Calibri"/>
        <family val="2"/>
        <scheme val="minor"/>
      </rPr>
      <t xml:space="preserve">. </t>
    </r>
  </si>
  <si>
    <t>DP =</t>
  </si>
  <si>
    <t>BP =</t>
  </si>
  <si>
    <t>Flash Calculation</t>
  </si>
  <si>
    <t>Total MB =</t>
  </si>
  <si>
    <t>B MB =</t>
  </si>
  <si>
    <t>Feed Enthalpy</t>
  </si>
  <si>
    <t xml:space="preserve">Run Solver to calculate the feed enthalpy. It is automatically input to </t>
  </si>
  <si>
    <t xml:space="preserve">Rigorous page. </t>
  </si>
  <si>
    <t>Superheated</t>
  </si>
  <si>
    <t>Subcooled</t>
  </si>
  <si>
    <t>Mixed</t>
  </si>
  <si>
    <t>B17</t>
  </si>
  <si>
    <t>B7</t>
  </si>
  <si>
    <t>B18</t>
  </si>
  <si>
    <t>B8</t>
  </si>
  <si>
    <t>Explanation of Logic</t>
  </si>
  <si>
    <t>B16</t>
  </si>
  <si>
    <t>B14</t>
  </si>
  <si>
    <t xml:space="preserve">Values used to calculate </t>
  </si>
  <si>
    <t>the feed enthalpy</t>
  </si>
  <si>
    <t>Feed Flash</t>
  </si>
  <si>
    <t>Copied to or from Rigorous page</t>
  </si>
  <si>
    <r>
      <t>Calculation of T</t>
    </r>
    <r>
      <rPr>
        <b/>
        <vertAlign val="subscript"/>
        <sz val="16"/>
        <rFont val="Calibri"/>
        <family val="2"/>
        <scheme val="minor"/>
      </rPr>
      <t>DP</t>
    </r>
    <r>
      <rPr>
        <b/>
        <sz val="16"/>
        <rFont val="Calibri"/>
        <family val="2"/>
        <scheme val="minor"/>
      </rPr>
      <t xml:space="preserve"> and T</t>
    </r>
    <r>
      <rPr>
        <b/>
        <vertAlign val="subscript"/>
        <sz val="16"/>
        <rFont val="Calibri"/>
        <family val="2"/>
        <scheme val="minor"/>
      </rPr>
      <t>BP</t>
    </r>
    <r>
      <rPr>
        <b/>
        <sz val="16"/>
        <rFont val="Calibri"/>
        <family val="2"/>
        <scheme val="minor"/>
      </rPr>
      <t xml:space="preserve"> based on value of z.</t>
    </r>
  </si>
  <si>
    <r>
      <t>T</t>
    </r>
    <r>
      <rPr>
        <b/>
        <vertAlign val="subscript"/>
        <sz val="16"/>
        <rFont val="Calibri"/>
        <family val="2"/>
        <scheme val="minor"/>
      </rPr>
      <t>DP</t>
    </r>
    <r>
      <rPr>
        <b/>
        <sz val="16"/>
        <rFont val="Calibri"/>
        <family val="2"/>
        <scheme val="minor"/>
      </rPr>
      <t xml:space="preserve"> =</t>
    </r>
  </si>
  <si>
    <r>
      <t>T (</t>
    </r>
    <r>
      <rPr>
        <b/>
        <vertAlign val="superscript"/>
        <sz val="16"/>
        <rFont val="Calibri"/>
        <family val="2"/>
        <scheme val="minor"/>
      </rPr>
      <t>o</t>
    </r>
    <r>
      <rPr>
        <b/>
        <sz val="16"/>
        <rFont val="Calibri"/>
        <family val="2"/>
        <scheme val="minor"/>
      </rPr>
      <t>C) =</t>
    </r>
  </si>
  <si>
    <r>
      <t>T</t>
    </r>
    <r>
      <rPr>
        <b/>
        <vertAlign val="subscript"/>
        <sz val="16"/>
        <rFont val="Calibri"/>
        <family val="2"/>
        <scheme val="minor"/>
      </rPr>
      <t>BP</t>
    </r>
    <r>
      <rPr>
        <b/>
        <sz val="16"/>
        <rFont val="Calibri"/>
        <family val="2"/>
        <scheme val="minor"/>
      </rPr>
      <t xml:space="preserve"> =</t>
    </r>
  </si>
  <si>
    <r>
      <t>If T</t>
    </r>
    <r>
      <rPr>
        <b/>
        <vertAlign val="subscript"/>
        <sz val="16"/>
        <rFont val="Calibri"/>
        <family val="2"/>
        <scheme val="minor"/>
      </rPr>
      <t>F</t>
    </r>
    <r>
      <rPr>
        <b/>
        <sz val="16"/>
        <rFont val="Calibri"/>
        <family val="2"/>
        <scheme val="minor"/>
      </rPr>
      <t xml:space="preserve"> &gt; T</t>
    </r>
    <r>
      <rPr>
        <b/>
        <vertAlign val="subscript"/>
        <sz val="16"/>
        <rFont val="Calibri"/>
        <family val="2"/>
        <scheme val="minor"/>
      </rPr>
      <t>DP</t>
    </r>
    <r>
      <rPr>
        <b/>
        <sz val="16"/>
        <rFont val="Calibri"/>
        <family val="2"/>
        <scheme val="minor"/>
      </rPr>
      <t>, then 1, else 0</t>
    </r>
  </si>
  <si>
    <r>
      <t>K</t>
    </r>
    <r>
      <rPr>
        <b/>
        <vertAlign val="subscript"/>
        <sz val="16"/>
        <rFont val="Calibri"/>
        <family val="2"/>
        <scheme val="minor"/>
      </rPr>
      <t>B</t>
    </r>
    <r>
      <rPr>
        <b/>
        <sz val="16"/>
        <rFont val="Calibri"/>
        <family val="2"/>
        <scheme val="minor"/>
      </rPr>
      <t xml:space="preserve"> =</t>
    </r>
  </si>
  <si>
    <r>
      <t>K</t>
    </r>
    <r>
      <rPr>
        <b/>
        <vertAlign val="subscript"/>
        <sz val="16"/>
        <rFont val="Calibri"/>
        <family val="2"/>
        <scheme val="minor"/>
      </rPr>
      <t>T</t>
    </r>
    <r>
      <rPr>
        <b/>
        <sz val="16"/>
        <rFont val="Calibri"/>
        <family val="2"/>
        <scheme val="minor"/>
      </rPr>
      <t xml:space="preserve"> =</t>
    </r>
  </si>
  <si>
    <r>
      <t>H</t>
    </r>
    <r>
      <rPr>
        <b/>
        <vertAlign val="subscript"/>
        <sz val="16"/>
        <rFont val="Calibri"/>
        <family val="2"/>
        <scheme val="minor"/>
      </rPr>
      <t>BL</t>
    </r>
    <r>
      <rPr>
        <b/>
        <sz val="16"/>
        <rFont val="Calibri"/>
        <family val="2"/>
        <scheme val="minor"/>
      </rPr>
      <t xml:space="preserve"> (kJ/mol) =</t>
    </r>
  </si>
  <si>
    <r>
      <t>If T</t>
    </r>
    <r>
      <rPr>
        <b/>
        <vertAlign val="subscript"/>
        <sz val="16"/>
        <rFont val="Calibri"/>
        <family val="2"/>
        <scheme val="minor"/>
      </rPr>
      <t>F</t>
    </r>
    <r>
      <rPr>
        <b/>
        <sz val="16"/>
        <rFont val="Calibri"/>
        <family val="2"/>
        <scheme val="minor"/>
      </rPr>
      <t xml:space="preserve"> &lt; T</t>
    </r>
    <r>
      <rPr>
        <b/>
        <vertAlign val="subscript"/>
        <sz val="16"/>
        <rFont val="Calibri"/>
        <family val="2"/>
        <scheme val="minor"/>
      </rPr>
      <t>BP</t>
    </r>
    <r>
      <rPr>
        <b/>
        <sz val="16"/>
        <rFont val="Calibri"/>
        <family val="2"/>
        <scheme val="minor"/>
      </rPr>
      <t>, then 1, else 0</t>
    </r>
  </si>
  <si>
    <r>
      <t>H</t>
    </r>
    <r>
      <rPr>
        <b/>
        <vertAlign val="subscript"/>
        <sz val="16"/>
        <rFont val="Calibri"/>
        <family val="2"/>
        <scheme val="minor"/>
      </rPr>
      <t>TL</t>
    </r>
    <r>
      <rPr>
        <b/>
        <sz val="16"/>
        <rFont val="Calibri"/>
        <family val="2"/>
        <scheme val="minor"/>
      </rPr>
      <t xml:space="preserve"> (kJ/mol) =</t>
    </r>
  </si>
  <si>
    <r>
      <t>If T</t>
    </r>
    <r>
      <rPr>
        <b/>
        <vertAlign val="subscript"/>
        <sz val="16"/>
        <rFont val="Calibri"/>
        <family val="2"/>
        <scheme val="minor"/>
      </rPr>
      <t>F</t>
    </r>
    <r>
      <rPr>
        <b/>
        <sz val="16"/>
        <rFont val="Calibri"/>
        <family val="2"/>
        <scheme val="minor"/>
      </rPr>
      <t xml:space="preserve"> &gt;= T</t>
    </r>
    <r>
      <rPr>
        <b/>
        <vertAlign val="subscript"/>
        <sz val="16"/>
        <rFont val="Calibri"/>
        <family val="2"/>
        <scheme val="minor"/>
      </rPr>
      <t>BP</t>
    </r>
    <r>
      <rPr>
        <b/>
        <sz val="16"/>
        <rFont val="Calibri"/>
        <family val="2"/>
        <scheme val="minor"/>
      </rPr>
      <t xml:space="preserve"> and T</t>
    </r>
    <r>
      <rPr>
        <b/>
        <vertAlign val="subscript"/>
        <sz val="16"/>
        <rFont val="Calibri"/>
        <family val="2"/>
        <scheme val="minor"/>
      </rPr>
      <t>F</t>
    </r>
    <r>
      <rPr>
        <b/>
        <sz val="16"/>
        <rFont val="Calibri"/>
        <family val="2"/>
        <scheme val="minor"/>
      </rPr>
      <t xml:space="preserve"> &lt;= T</t>
    </r>
    <r>
      <rPr>
        <b/>
        <vertAlign val="subscript"/>
        <sz val="16"/>
        <rFont val="Calibri"/>
        <family val="2"/>
        <scheme val="minor"/>
      </rPr>
      <t>DP</t>
    </r>
    <r>
      <rPr>
        <b/>
        <sz val="16"/>
        <rFont val="Calibri"/>
        <family val="2"/>
        <scheme val="minor"/>
      </rPr>
      <t>, then 1, else 0</t>
    </r>
  </si>
  <si>
    <r>
      <t>H</t>
    </r>
    <r>
      <rPr>
        <b/>
        <vertAlign val="subscript"/>
        <sz val="16"/>
        <rFont val="Calibri"/>
        <family val="2"/>
        <scheme val="minor"/>
      </rPr>
      <t>BV</t>
    </r>
    <r>
      <rPr>
        <b/>
        <sz val="16"/>
        <rFont val="Calibri"/>
        <family val="2"/>
        <scheme val="minor"/>
      </rPr>
      <t xml:space="preserve"> (kJ/mol) =</t>
    </r>
  </si>
  <si>
    <r>
      <t>H</t>
    </r>
    <r>
      <rPr>
        <b/>
        <vertAlign val="subscript"/>
        <sz val="16"/>
        <rFont val="Calibri"/>
        <family val="2"/>
        <scheme val="minor"/>
      </rPr>
      <t>TV</t>
    </r>
    <r>
      <rPr>
        <b/>
        <sz val="16"/>
        <rFont val="Calibri"/>
        <family val="2"/>
        <scheme val="minor"/>
      </rPr>
      <t xml:space="preserve"> (kJ/mol) =</t>
    </r>
  </si>
  <si>
    <r>
      <t>H</t>
    </r>
    <r>
      <rPr>
        <b/>
        <vertAlign val="subscript"/>
        <sz val="16"/>
        <rFont val="Calibri"/>
        <family val="2"/>
        <scheme val="minor"/>
      </rPr>
      <t>F</t>
    </r>
    <r>
      <rPr>
        <b/>
        <sz val="16"/>
        <rFont val="Calibri"/>
        <family val="2"/>
        <scheme val="minor"/>
      </rPr>
      <t xml:space="preserve"> (kJ) =</t>
    </r>
  </si>
  <si>
    <t>Heading</t>
  </si>
  <si>
    <t>(Make any changes there!)</t>
  </si>
  <si>
    <t>Lewis Method (Benzene-Toluene)</t>
  </si>
  <si>
    <t>R =</t>
    <phoneticPr fontId="4" type="noConversion"/>
  </si>
  <si>
    <t>P (mm Hg) =</t>
    <phoneticPr fontId="4" type="noConversion"/>
  </si>
  <si>
    <t>Total Cond</t>
    <phoneticPr fontId="4" type="noConversion"/>
  </si>
  <si>
    <t>Reboiler</t>
    <phoneticPr fontId="4" type="noConversion"/>
  </si>
  <si>
    <t xml:space="preserve">Instructions: </t>
  </si>
  <si>
    <t>1) Use Solver to set BP/DP Criteria (Column N) to 1.000 and D to 0 by changing T (Column K) and something else.</t>
  </si>
  <si>
    <t>3) F and Z can be applied to any stage. Saturated liquid feed only.</t>
  </si>
  <si>
    <t>4) If you change the pressure, don't forget to change the pressure on the VLE diagrams.</t>
  </si>
  <si>
    <t>Operating Lines</t>
    <phoneticPr fontId="4" type="noConversion"/>
  </si>
  <si>
    <t>x</t>
    <phoneticPr fontId="4" type="noConversion"/>
  </si>
  <si>
    <r>
      <t>2) Set R (B3), x</t>
    </r>
    <r>
      <rPr>
        <b/>
        <vertAlign val="subscript"/>
        <sz val="16"/>
        <rFont val="Calibri"/>
        <family val="2"/>
        <scheme val="minor"/>
      </rPr>
      <t>D</t>
    </r>
    <r>
      <rPr>
        <b/>
        <sz val="16"/>
        <rFont val="Calibri"/>
        <family val="2"/>
        <scheme val="minor"/>
      </rPr>
      <t xml:space="preserve"> (F7), P (B4) and/or D (E7) according to specifications and let one of them be a variable (that "something else").</t>
    </r>
  </si>
  <si>
    <t>If the feed is subcooled or superheated, Solver will not find an aswer.</t>
  </si>
  <si>
    <t>However, the feed enthalpy will be correct.</t>
  </si>
  <si>
    <t>Ref: Liquids at normal boiling point</t>
  </si>
  <si>
    <r>
      <rPr>
        <b/>
        <sz val="16"/>
        <rFont val="Symbol"/>
        <family val="1"/>
        <charset val="2"/>
      </rPr>
      <t>D</t>
    </r>
    <r>
      <rPr>
        <b/>
        <sz val="16"/>
        <rFont val="Calibri"/>
        <family val="2"/>
        <scheme val="minor"/>
      </rPr>
      <t xml:space="preserve"> =</t>
    </r>
  </si>
  <si>
    <r>
      <rPr>
        <b/>
        <u/>
        <sz val="16"/>
        <rFont val="Calibri"/>
        <family val="2"/>
        <scheme val="minor"/>
      </rPr>
      <t>Instructions</t>
    </r>
    <r>
      <rPr>
        <b/>
        <sz val="16"/>
        <rFont val="Calibri"/>
        <family val="2"/>
        <scheme val="minor"/>
      </rPr>
      <t>: Use Goal Seek twice to calculate T</t>
    </r>
    <r>
      <rPr>
        <b/>
        <vertAlign val="subscript"/>
        <sz val="16"/>
        <rFont val="Calibri"/>
        <family val="2"/>
        <scheme val="minor"/>
      </rPr>
      <t>DP</t>
    </r>
    <r>
      <rPr>
        <b/>
        <sz val="16"/>
        <rFont val="Calibri"/>
        <family val="2"/>
        <scheme val="minor"/>
      </rPr>
      <t xml:space="preserve"> and T</t>
    </r>
    <r>
      <rPr>
        <b/>
        <vertAlign val="subscript"/>
        <sz val="16"/>
        <rFont val="Calibri"/>
        <family val="2"/>
        <scheme val="minor"/>
      </rPr>
      <t>BP</t>
    </r>
    <r>
      <rPr>
        <b/>
        <sz val="16"/>
        <rFont val="Calibri"/>
        <family val="2"/>
        <scheme val="minor"/>
      </rPr>
      <t>.</t>
    </r>
  </si>
  <si>
    <t>C5</t>
  </si>
  <si>
    <t>C6</t>
  </si>
  <si>
    <t>#</t>
  </si>
  <si>
    <t>mmHg</t>
  </si>
  <si>
    <t>Vap</t>
  </si>
  <si>
    <t>gmol/s</t>
  </si>
  <si>
    <t>Liq</t>
  </si>
  <si>
    <t>Y/X</t>
  </si>
  <si>
    <t>Pentane</t>
  </si>
  <si>
    <t>Hexane</t>
  </si>
  <si>
    <t>Total</t>
  </si>
  <si>
    <t>Pentane-Hexane VLE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</si>
</sst>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000"/>
    <numFmt numFmtId="165" formatCode="0.000"/>
    <numFmt numFmtId="166" formatCode="0.0"/>
    <numFmt numFmtId="167" formatCode="0.00000"/>
    <numFmt numFmtId="168" formatCode="0.000000"/>
  </numFmts>
  <fonts count="23" x14ac:knownFonts="1">
    <font>
      <sz val="10"/>
      <name val="Verdana"/>
    </font>
    <font>
      <sz val="8"/>
      <name val="Verdana"/>
      <family val="2"/>
    </font>
    <font>
      <sz val="16"/>
      <name val="Verdana"/>
      <family val="2"/>
    </font>
    <font>
      <vertAlign val="subscript"/>
      <sz val="16"/>
      <name val="Verdana"/>
      <family val="2"/>
    </font>
    <font>
      <vertAlign val="superscript"/>
      <sz val="16"/>
      <name val="Verdana"/>
      <family val="2"/>
    </font>
    <font>
      <sz val="14"/>
      <name val="Verdana"/>
      <family val="2"/>
    </font>
    <font>
      <sz val="18"/>
      <name val="Verdana"/>
      <family val="2"/>
    </font>
    <font>
      <b/>
      <sz val="20"/>
      <name val="Calibri"/>
      <family val="2"/>
      <scheme val="minor"/>
    </font>
    <font>
      <sz val="16"/>
      <name val="Calibri"/>
      <family val="2"/>
      <scheme val="minor"/>
    </font>
    <font>
      <vertAlign val="superscript"/>
      <sz val="16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name val="Verdana"/>
      <family val="2"/>
    </font>
    <font>
      <b/>
      <sz val="16"/>
      <color theme="1"/>
      <name val="Calibri"/>
      <family val="2"/>
      <scheme val="minor"/>
    </font>
    <font>
      <b/>
      <vertAlign val="superscript"/>
      <sz val="16"/>
      <color theme="1"/>
      <name val="Calibri"/>
      <family val="2"/>
      <scheme val="minor"/>
    </font>
    <font>
      <b/>
      <vertAlign val="subscript"/>
      <sz val="16"/>
      <name val="Calibri"/>
      <family val="2"/>
      <scheme val="minor"/>
    </font>
    <font>
      <b/>
      <vertAlign val="superscript"/>
      <sz val="16"/>
      <name val="Calibri"/>
      <family val="2"/>
      <scheme val="minor"/>
    </font>
    <font>
      <b/>
      <vertAlign val="subscript"/>
      <sz val="16"/>
      <color theme="1"/>
      <name val="Calibri"/>
      <family val="2"/>
      <scheme val="minor"/>
    </font>
    <font>
      <b/>
      <sz val="16"/>
      <color theme="1"/>
      <name val="Symbol"/>
      <family val="1"/>
      <charset val="2"/>
    </font>
    <font>
      <b/>
      <vertAlign val="subscript"/>
      <sz val="20"/>
      <name val="Calibri"/>
      <family val="2"/>
      <scheme val="minor"/>
    </font>
    <font>
      <b/>
      <u/>
      <sz val="16"/>
      <name val="Calibri"/>
      <family val="2"/>
      <scheme val="minor"/>
    </font>
    <font>
      <sz val="10"/>
      <name val="Verdana"/>
      <family val="2"/>
    </font>
    <font>
      <b/>
      <sz val="16"/>
      <name val="Verdana"/>
      <family val="2"/>
    </font>
    <font>
      <b/>
      <sz val="16"/>
      <name val="Symbol"/>
      <family val="1"/>
      <charset val="2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67">
    <border>
      <left/>
      <right/>
      <top/>
      <bottom/>
      <diagonal/>
    </border>
    <border>
      <left style="thick">
        <color theme="9" tint="-0.24994659260841701"/>
      </left>
      <right/>
      <top style="thick">
        <color theme="9" tint="-0.24994659260841701"/>
      </top>
      <bottom/>
      <diagonal/>
    </border>
    <border>
      <left/>
      <right/>
      <top style="thick">
        <color theme="9" tint="-0.24994659260841701"/>
      </top>
      <bottom/>
      <diagonal/>
    </border>
    <border>
      <left/>
      <right style="thick">
        <color theme="9" tint="-0.24994659260841701"/>
      </right>
      <top style="thick">
        <color theme="9" tint="-0.24994659260841701"/>
      </top>
      <bottom/>
      <diagonal/>
    </border>
    <border>
      <left style="thick">
        <color theme="9" tint="-0.24994659260841701"/>
      </left>
      <right/>
      <top/>
      <bottom/>
      <diagonal/>
    </border>
    <border>
      <left/>
      <right style="thick">
        <color theme="9" tint="-0.24994659260841701"/>
      </right>
      <top/>
      <bottom/>
      <diagonal/>
    </border>
    <border>
      <left style="thick">
        <color theme="9" tint="-0.24994659260841701"/>
      </left>
      <right/>
      <top/>
      <bottom style="thick">
        <color theme="9" tint="-0.24994659260841701"/>
      </bottom>
      <diagonal/>
    </border>
    <border>
      <left/>
      <right/>
      <top/>
      <bottom style="thick">
        <color theme="9" tint="-0.24994659260841701"/>
      </bottom>
      <diagonal/>
    </border>
    <border>
      <left/>
      <right style="thick">
        <color theme="9" tint="-0.24994659260841701"/>
      </right>
      <top/>
      <bottom style="thick">
        <color theme="9" tint="-0.24994659260841701"/>
      </bottom>
      <diagonal/>
    </border>
    <border>
      <left style="thick">
        <color theme="4" tint="-0.499984740745262"/>
      </left>
      <right/>
      <top style="thick">
        <color theme="4" tint="-0.499984740745262"/>
      </top>
      <bottom/>
      <diagonal/>
    </border>
    <border>
      <left/>
      <right style="thick">
        <color theme="4" tint="-0.499984740745262"/>
      </right>
      <top style="thick">
        <color theme="4" tint="-0.499984740745262"/>
      </top>
      <bottom/>
      <diagonal/>
    </border>
    <border>
      <left style="thick">
        <color theme="4" tint="-0.499984740745262"/>
      </left>
      <right/>
      <top/>
      <bottom style="thick">
        <color theme="4" tint="-0.499984740745262"/>
      </bottom>
      <diagonal/>
    </border>
    <border>
      <left/>
      <right style="thick">
        <color theme="4" tint="-0.499984740745262"/>
      </right>
      <top/>
      <bottom style="thick">
        <color theme="4" tint="-0.499984740745262"/>
      </bottom>
      <diagonal/>
    </border>
    <border>
      <left style="thick">
        <color theme="0" tint="-0.499984740745262"/>
      </left>
      <right/>
      <top style="thick">
        <color theme="0" tint="-0.499984740745262"/>
      </top>
      <bottom/>
      <diagonal/>
    </border>
    <border>
      <left/>
      <right/>
      <top style="thick">
        <color theme="0" tint="-0.499984740745262"/>
      </top>
      <bottom/>
      <diagonal/>
    </border>
    <border>
      <left/>
      <right style="thick">
        <color theme="0" tint="-0.499984740745262"/>
      </right>
      <top style="thick">
        <color theme="0" tint="-0.499984740745262"/>
      </top>
      <bottom/>
      <diagonal/>
    </border>
    <border>
      <left style="thick">
        <color theme="0" tint="-0.499984740745262"/>
      </left>
      <right/>
      <top/>
      <bottom/>
      <diagonal/>
    </border>
    <border>
      <left/>
      <right style="thick">
        <color theme="0" tint="-0.499984740745262"/>
      </right>
      <top/>
      <bottom/>
      <diagonal/>
    </border>
    <border>
      <left style="thick">
        <color theme="0" tint="-0.499984740745262"/>
      </left>
      <right/>
      <top/>
      <bottom style="thick">
        <color theme="0" tint="-0.499984740745262"/>
      </bottom>
      <diagonal/>
    </border>
    <border>
      <left/>
      <right/>
      <top/>
      <bottom style="thick">
        <color theme="0" tint="-0.499984740745262"/>
      </bottom>
      <diagonal/>
    </border>
    <border>
      <left/>
      <right style="thick">
        <color theme="0" tint="-0.499984740745262"/>
      </right>
      <top/>
      <bottom style="thick">
        <color theme="0" tint="-0.499984740745262"/>
      </bottom>
      <diagonal/>
    </border>
    <border>
      <left/>
      <right/>
      <top style="thick">
        <color theme="4" tint="-0.499984740745262"/>
      </top>
      <bottom/>
      <diagonal/>
    </border>
    <border>
      <left style="thick">
        <color theme="9" tint="-0.499984740745262"/>
      </left>
      <right/>
      <top style="thick">
        <color theme="9" tint="-0.499984740745262"/>
      </top>
      <bottom style="thick">
        <color theme="9" tint="-0.499984740745262"/>
      </bottom>
      <diagonal/>
    </border>
    <border>
      <left/>
      <right/>
      <top style="thick">
        <color theme="9" tint="-0.499984740745262"/>
      </top>
      <bottom style="thick">
        <color theme="9" tint="-0.499984740745262"/>
      </bottom>
      <diagonal/>
    </border>
    <border>
      <left/>
      <right style="thick">
        <color theme="9" tint="-0.499984740745262"/>
      </right>
      <top style="thick">
        <color theme="9" tint="-0.499984740745262"/>
      </top>
      <bottom style="thick">
        <color theme="9" tint="-0.499984740745262"/>
      </bottom>
      <diagonal/>
    </border>
    <border>
      <left style="thick">
        <color theme="4" tint="-0.499984740745262"/>
      </left>
      <right/>
      <top/>
      <bottom/>
      <diagonal/>
    </border>
    <border>
      <left/>
      <right style="thick">
        <color theme="4" tint="-0.499984740745262"/>
      </right>
      <top/>
      <bottom/>
      <diagonal/>
    </border>
    <border>
      <left/>
      <right/>
      <top/>
      <bottom style="thick">
        <color theme="4" tint="-0.499984740745262"/>
      </bottom>
      <diagonal/>
    </border>
    <border>
      <left style="thick">
        <color theme="4" tint="-0.499984740745262"/>
      </left>
      <right/>
      <top style="thick">
        <color theme="4" tint="-0.499984740745262"/>
      </top>
      <bottom style="thick">
        <color theme="4" tint="-0.499984740745262"/>
      </bottom>
      <diagonal/>
    </border>
    <border>
      <left/>
      <right style="thick">
        <color theme="4" tint="-0.499984740745262"/>
      </right>
      <top style="thick">
        <color theme="4" tint="-0.499984740745262"/>
      </top>
      <bottom style="thick">
        <color theme="4" tint="-0.499984740745262"/>
      </bottom>
      <diagonal/>
    </border>
    <border>
      <left style="thick">
        <color theme="4" tint="-0.499984740745262"/>
      </left>
      <right style="thick">
        <color theme="4" tint="-0.499984740745262"/>
      </right>
      <top style="thick">
        <color theme="4" tint="-0.499984740745262"/>
      </top>
      <bottom/>
      <diagonal/>
    </border>
    <border>
      <left style="thick">
        <color theme="4" tint="-0.499984740745262"/>
      </left>
      <right style="thick">
        <color theme="4" tint="-0.499984740745262"/>
      </right>
      <top/>
      <bottom/>
      <diagonal/>
    </border>
    <border>
      <left style="thick">
        <color theme="4" tint="-0.499984740745262"/>
      </left>
      <right style="thick">
        <color theme="4" tint="-0.499984740745262"/>
      </right>
      <top/>
      <bottom style="thick">
        <color theme="4" tint="-0.499984740745262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ck">
        <color theme="9" tint="-0.499984740745262"/>
      </left>
      <right/>
      <top style="thick">
        <color theme="9" tint="-0.499984740745262"/>
      </top>
      <bottom/>
      <diagonal/>
    </border>
    <border>
      <left/>
      <right/>
      <top style="thick">
        <color theme="9" tint="-0.499984740745262"/>
      </top>
      <bottom/>
      <diagonal/>
    </border>
    <border>
      <left/>
      <right style="thick">
        <color theme="9" tint="-0.499984740745262"/>
      </right>
      <top style="thick">
        <color theme="9" tint="-0.499984740745262"/>
      </top>
      <bottom/>
      <diagonal/>
    </border>
    <border>
      <left style="thick">
        <color theme="9" tint="-0.499984740745262"/>
      </left>
      <right/>
      <top/>
      <bottom/>
      <diagonal/>
    </border>
    <border>
      <left/>
      <right style="thick">
        <color theme="9" tint="-0.499984740745262"/>
      </right>
      <top/>
      <bottom/>
      <diagonal/>
    </border>
    <border>
      <left style="thick">
        <color theme="9" tint="-0.499984740745262"/>
      </left>
      <right/>
      <top/>
      <bottom style="thick">
        <color theme="9" tint="-0.499984740745262"/>
      </bottom>
      <diagonal/>
    </border>
    <border>
      <left/>
      <right/>
      <top/>
      <bottom style="thick">
        <color theme="9" tint="-0.499984740745262"/>
      </bottom>
      <diagonal/>
    </border>
    <border>
      <left/>
      <right style="thick">
        <color theme="9" tint="-0.499984740745262"/>
      </right>
      <top/>
      <bottom style="thick">
        <color theme="9" tint="-0.499984740745262"/>
      </bottom>
      <diagonal/>
    </border>
    <border>
      <left style="thick">
        <color theme="7"/>
      </left>
      <right/>
      <top style="thick">
        <color theme="7"/>
      </top>
      <bottom/>
      <diagonal/>
    </border>
    <border>
      <left/>
      <right/>
      <top style="thick">
        <color theme="7"/>
      </top>
      <bottom/>
      <diagonal/>
    </border>
    <border>
      <left/>
      <right style="thick">
        <color theme="7"/>
      </right>
      <top style="thick">
        <color theme="7"/>
      </top>
      <bottom/>
      <diagonal/>
    </border>
    <border>
      <left/>
      <right/>
      <top/>
      <bottom style="thick">
        <color theme="7"/>
      </bottom>
      <diagonal/>
    </border>
    <border>
      <left style="thick">
        <color rgb="FF7030A0"/>
      </left>
      <right/>
      <top style="thick">
        <color rgb="FF7030A0"/>
      </top>
      <bottom/>
      <diagonal/>
    </border>
    <border>
      <left/>
      <right style="thick">
        <color rgb="FF7030A0"/>
      </right>
      <top style="thick">
        <color rgb="FF7030A0"/>
      </top>
      <bottom/>
      <diagonal/>
    </border>
    <border>
      <left/>
      <right style="thick">
        <color rgb="FF7030A0"/>
      </right>
      <top style="thick">
        <color rgb="FF7030A0"/>
      </top>
      <bottom style="thick">
        <color rgb="FF7030A0"/>
      </bottom>
      <diagonal/>
    </border>
    <border>
      <left style="thick">
        <color theme="9" tint="-0.499984740745262"/>
      </left>
      <right/>
      <top/>
      <bottom style="thick">
        <color theme="7"/>
      </bottom>
      <diagonal/>
    </border>
    <border>
      <left style="thick">
        <color theme="9" tint="-0.499984740745262"/>
      </left>
      <right/>
      <top style="thick">
        <color theme="7"/>
      </top>
      <bottom/>
      <diagonal/>
    </border>
    <border>
      <left style="thick">
        <color theme="6" tint="-0.499984740745262"/>
      </left>
      <right/>
      <top style="thick">
        <color theme="6" tint="-0.499984740745262"/>
      </top>
      <bottom/>
      <diagonal/>
    </border>
    <border>
      <left/>
      <right/>
      <top style="thick">
        <color theme="6" tint="-0.499984740745262"/>
      </top>
      <bottom/>
      <diagonal/>
    </border>
    <border>
      <left/>
      <right style="thick">
        <color theme="6" tint="-0.499984740745262"/>
      </right>
      <top style="thick">
        <color theme="6" tint="-0.499984740745262"/>
      </top>
      <bottom/>
      <diagonal/>
    </border>
    <border>
      <left/>
      <right/>
      <top style="thick">
        <color rgb="FF7030A0"/>
      </top>
      <bottom style="thick">
        <color rgb="FF7030A0"/>
      </bottom>
      <diagonal/>
    </border>
    <border>
      <left style="thick">
        <color theme="4" tint="-0.499984740745262"/>
      </left>
      <right/>
      <top style="thick">
        <color theme="7"/>
      </top>
      <bottom/>
      <diagonal/>
    </border>
    <border>
      <left/>
      <right/>
      <top style="thick">
        <color rgb="FF7030A0"/>
      </top>
      <bottom/>
      <diagonal/>
    </border>
    <border>
      <left style="thick">
        <color theme="4" tint="-0.499984740745262"/>
      </left>
      <right/>
      <top/>
      <bottom style="thick">
        <color theme="7"/>
      </bottom>
      <diagonal/>
    </border>
    <border>
      <left/>
      <right style="thick">
        <color theme="9" tint="-0.499984740745262"/>
      </right>
      <top style="thick">
        <color theme="4" tint="-0.499984740745262"/>
      </top>
      <bottom/>
      <diagonal/>
    </border>
    <border>
      <left/>
      <right style="thick">
        <color theme="9" tint="-0.499984740745262"/>
      </right>
      <top/>
      <bottom style="thick">
        <color theme="7"/>
      </bottom>
      <diagonal/>
    </border>
    <border>
      <left/>
      <right style="thick">
        <color theme="9" tint="-0.499984740745262"/>
      </right>
      <top style="thick">
        <color theme="7"/>
      </top>
      <bottom/>
      <diagonal/>
    </border>
    <border>
      <left/>
      <right style="thick">
        <color theme="9" tint="-0.499984740745262"/>
      </right>
      <top/>
      <bottom style="thick">
        <color theme="4" tint="-0.499984740745262"/>
      </bottom>
      <diagonal/>
    </border>
    <border>
      <left style="thick">
        <color rgb="FF7030A0"/>
      </left>
      <right/>
      <top/>
      <bottom style="thick">
        <color rgb="FF7030A0"/>
      </bottom>
      <diagonal/>
    </border>
    <border>
      <left/>
      <right style="thick">
        <color rgb="FF7030A0"/>
      </right>
      <top/>
      <bottom style="thick">
        <color rgb="FF7030A0"/>
      </bottom>
      <diagonal/>
    </border>
    <border>
      <left style="thick">
        <color theme="6" tint="-0.499984740745262"/>
      </left>
      <right/>
      <top style="thick">
        <color theme="6" tint="-0.499984740745262"/>
      </top>
      <bottom style="thick">
        <color theme="6" tint="-0.499984740745262"/>
      </bottom>
      <diagonal/>
    </border>
    <border>
      <left/>
      <right style="thick">
        <color theme="6" tint="-0.499984740745262"/>
      </right>
      <top style="thick">
        <color theme="6" tint="-0.499984740745262"/>
      </top>
      <bottom style="thick">
        <color theme="6" tint="-0.499984740745262"/>
      </bottom>
      <diagonal/>
    </border>
  </borders>
  <cellStyleXfs count="2">
    <xf numFmtId="0" fontId="0" fillId="0" borderId="0"/>
    <xf numFmtId="0" fontId="20" fillId="0" borderId="0"/>
  </cellStyleXfs>
  <cellXfs count="294">
    <xf numFmtId="0" fontId="0" fillId="0" borderId="0" xfId="0"/>
    <xf numFmtId="0" fontId="2" fillId="0" borderId="0" xfId="0" applyFont="1"/>
    <xf numFmtId="165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3" borderId="13" xfId="0" applyFont="1" applyFill="1" applyBorder="1"/>
    <xf numFmtId="0" fontId="2" fillId="3" borderId="14" xfId="0" applyFont="1" applyFill="1" applyBorder="1"/>
    <xf numFmtId="0" fontId="2" fillId="3" borderId="15" xfId="0" applyFont="1" applyFill="1" applyBorder="1"/>
    <xf numFmtId="0" fontId="2" fillId="3" borderId="16" xfId="0" applyFont="1" applyFill="1" applyBorder="1"/>
    <xf numFmtId="0" fontId="2" fillId="3" borderId="0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/>
    <xf numFmtId="0" fontId="5" fillId="0" borderId="0" xfId="0" applyFont="1"/>
    <xf numFmtId="0" fontId="5" fillId="0" borderId="0" xfId="0" applyFont="1" applyFill="1" applyBorder="1"/>
    <xf numFmtId="0" fontId="5" fillId="0" borderId="0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3" borderId="0" xfId="0" applyFont="1" applyFill="1" applyBorder="1"/>
    <xf numFmtId="0" fontId="2" fillId="3" borderId="19" xfId="0" applyFont="1" applyFill="1" applyBorder="1"/>
    <xf numFmtId="0" fontId="2" fillId="0" borderId="33" xfId="0" applyFont="1" applyBorder="1" applyAlignment="1">
      <alignment horizontal="center"/>
    </xf>
    <xf numFmtId="0" fontId="2" fillId="0" borderId="34" xfId="0" applyFont="1" applyBorder="1"/>
    <xf numFmtId="0" fontId="2" fillId="0" borderId="34" xfId="0" applyFont="1" applyBorder="1" applyAlignment="1">
      <alignment horizontal="center"/>
    </xf>
    <xf numFmtId="166" fontId="2" fillId="0" borderId="0" xfId="0" applyNumberFormat="1" applyFont="1" applyAlignment="1">
      <alignment horizontal="center"/>
    </xf>
    <xf numFmtId="167" fontId="2" fillId="0" borderId="0" xfId="0" applyNumberFormat="1" applyFont="1" applyAlignment="1">
      <alignment horizontal="center"/>
    </xf>
    <xf numFmtId="0" fontId="6" fillId="0" borderId="0" xfId="0" applyFont="1"/>
    <xf numFmtId="0" fontId="2" fillId="3" borderId="17" xfId="0" applyFont="1" applyFill="1" applyBorder="1"/>
    <xf numFmtId="0" fontId="2" fillId="3" borderId="20" xfId="0" applyFont="1" applyFill="1" applyBorder="1"/>
    <xf numFmtId="0" fontId="7" fillId="0" borderId="0" xfId="0" applyFont="1"/>
    <xf numFmtId="0" fontId="8" fillId="0" borderId="0" xfId="0" applyFont="1"/>
    <xf numFmtId="0" fontId="8" fillId="0" borderId="0" xfId="0" applyFont="1" applyFill="1" applyBorder="1" applyAlignment="1">
      <alignment horizontal="right"/>
    </xf>
    <xf numFmtId="0" fontId="9" fillId="0" borderId="0" xfId="0" applyFont="1" applyFill="1" applyBorder="1"/>
    <xf numFmtId="0" fontId="10" fillId="4" borderId="9" xfId="0" applyFont="1" applyFill="1" applyBorder="1" applyAlignment="1">
      <alignment horizontal="right"/>
    </xf>
    <xf numFmtId="166" fontId="10" fillId="4" borderId="10" xfId="0" applyNumberFormat="1" applyFont="1" applyFill="1" applyBorder="1" applyAlignment="1">
      <alignment horizontal="left"/>
    </xf>
    <xf numFmtId="0" fontId="10" fillId="0" borderId="0" xfId="0" applyFont="1"/>
    <xf numFmtId="0" fontId="10" fillId="4" borderId="9" xfId="0" applyFont="1" applyFill="1" applyBorder="1"/>
    <xf numFmtId="0" fontId="10" fillId="4" borderId="21" xfId="0" applyFont="1" applyFill="1" applyBorder="1"/>
    <xf numFmtId="0" fontId="10" fillId="4" borderId="10" xfId="0" applyFont="1" applyFill="1" applyBorder="1"/>
    <xf numFmtId="0" fontId="11" fillId="0" borderId="0" xfId="0" applyFont="1"/>
    <xf numFmtId="0" fontId="10" fillId="4" borderId="11" xfId="0" applyFont="1" applyFill="1" applyBorder="1" applyAlignment="1">
      <alignment horizontal="right"/>
    </xf>
    <xf numFmtId="0" fontId="10" fillId="4" borderId="12" xfId="0" applyFont="1" applyFill="1" applyBorder="1" applyAlignment="1">
      <alignment horizontal="left"/>
    </xf>
    <xf numFmtId="0" fontId="12" fillId="2" borderId="22" xfId="0" applyFont="1" applyFill="1" applyBorder="1"/>
    <xf numFmtId="0" fontId="12" fillId="2" borderId="23" xfId="0" applyFont="1" applyFill="1" applyBorder="1"/>
    <xf numFmtId="0" fontId="12" fillId="2" borderId="24" xfId="0" applyFont="1" applyFill="1" applyBorder="1"/>
    <xf numFmtId="0" fontId="12" fillId="4" borderId="11" xfId="0" applyFont="1" applyFill="1" applyBorder="1" applyAlignment="1">
      <alignment horizontal="center"/>
    </xf>
    <xf numFmtId="166" fontId="10" fillId="4" borderId="12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1" fontId="10" fillId="4" borderId="28" xfId="0" applyNumberFormat="1" applyFont="1" applyFill="1" applyBorder="1" applyAlignment="1">
      <alignment horizontal="center"/>
    </xf>
    <xf numFmtId="165" fontId="10" fillId="4" borderId="29" xfId="0" applyNumberFormat="1" applyFont="1" applyFill="1" applyBorder="1" applyAlignment="1">
      <alignment horizontal="center"/>
    </xf>
    <xf numFmtId="166" fontId="10" fillId="2" borderId="0" xfId="0" applyNumberFormat="1" applyFont="1" applyFill="1" applyBorder="1" applyAlignment="1">
      <alignment horizontal="center"/>
    </xf>
    <xf numFmtId="165" fontId="10" fillId="2" borderId="0" xfId="0" applyNumberFormat="1" applyFont="1" applyFill="1" applyBorder="1" applyAlignment="1">
      <alignment horizontal="center"/>
    </xf>
    <xf numFmtId="166" fontId="10" fillId="4" borderId="30" xfId="0" applyNumberFormat="1" applyFont="1" applyFill="1" applyBorder="1" applyAlignment="1">
      <alignment horizontal="center"/>
    </xf>
    <xf numFmtId="164" fontId="10" fillId="2" borderId="0" xfId="0" applyNumberFormat="1" applyFont="1" applyFill="1" applyBorder="1" applyAlignment="1">
      <alignment horizontal="center"/>
    </xf>
    <xf numFmtId="2" fontId="10" fillId="2" borderId="0" xfId="0" applyNumberFormat="1" applyFont="1" applyFill="1" applyBorder="1" applyAlignment="1">
      <alignment horizontal="center"/>
    </xf>
    <xf numFmtId="11" fontId="10" fillId="2" borderId="0" xfId="0" applyNumberFormat="1" applyFont="1" applyFill="1" applyBorder="1" applyAlignment="1">
      <alignment horizontal="center"/>
    </xf>
    <xf numFmtId="0" fontId="10" fillId="2" borderId="0" xfId="0" quotePrefix="1" applyFont="1" applyFill="1" applyBorder="1" applyAlignment="1">
      <alignment horizontal="center"/>
    </xf>
    <xf numFmtId="166" fontId="10" fillId="2" borderId="5" xfId="0" applyNumberFormat="1" applyFont="1" applyFill="1" applyBorder="1" applyAlignment="1">
      <alignment horizontal="center"/>
    </xf>
    <xf numFmtId="0" fontId="10" fillId="4" borderId="9" xfId="0" applyFont="1" applyFill="1" applyBorder="1" applyAlignment="1">
      <alignment horizontal="center"/>
    </xf>
    <xf numFmtId="0" fontId="10" fillId="4" borderId="21" xfId="0" applyFont="1" applyFill="1" applyBorder="1" applyAlignment="1">
      <alignment horizontal="center"/>
    </xf>
    <xf numFmtId="0" fontId="10" fillId="4" borderId="10" xfId="0" applyFont="1" applyFill="1" applyBorder="1" applyAlignment="1">
      <alignment horizontal="center"/>
    </xf>
    <xf numFmtId="166" fontId="10" fillId="4" borderId="31" xfId="0" applyNumberFormat="1" applyFont="1" applyFill="1" applyBorder="1" applyAlignment="1">
      <alignment horizontal="center"/>
    </xf>
    <xf numFmtId="167" fontId="10" fillId="2" borderId="5" xfId="0" applyNumberFormat="1" applyFont="1" applyFill="1" applyBorder="1" applyAlignment="1">
      <alignment horizontal="center"/>
    </xf>
    <xf numFmtId="0" fontId="10" fillId="4" borderId="25" xfId="0" applyFont="1" applyFill="1" applyBorder="1" applyAlignment="1">
      <alignment horizontal="center"/>
    </xf>
    <xf numFmtId="0" fontId="10" fillId="4" borderId="0" xfId="0" applyFont="1" applyFill="1" applyBorder="1" applyAlignment="1">
      <alignment horizontal="center"/>
    </xf>
    <xf numFmtId="0" fontId="10" fillId="4" borderId="26" xfId="0" applyFont="1" applyFill="1" applyBorder="1" applyAlignment="1">
      <alignment horizontal="center"/>
    </xf>
    <xf numFmtId="0" fontId="10" fillId="4" borderId="11" xfId="0" applyFont="1" applyFill="1" applyBorder="1" applyAlignment="1">
      <alignment horizontal="center"/>
    </xf>
    <xf numFmtId="0" fontId="10" fillId="4" borderId="27" xfId="0" applyFont="1" applyFill="1" applyBorder="1" applyAlignment="1">
      <alignment horizontal="center"/>
    </xf>
    <xf numFmtId="0" fontId="10" fillId="4" borderId="12" xfId="0" applyFont="1" applyFill="1" applyBorder="1" applyAlignment="1">
      <alignment horizontal="center"/>
    </xf>
    <xf numFmtId="166" fontId="10" fillId="4" borderId="32" xfId="0" applyNumberFormat="1" applyFont="1" applyFill="1" applyBorder="1" applyAlignment="1">
      <alignment horizontal="center"/>
    </xf>
    <xf numFmtId="0" fontId="10" fillId="2" borderId="0" xfId="0" applyFont="1" applyFill="1" applyBorder="1" applyAlignment="1">
      <alignment horizontal="right"/>
    </xf>
    <xf numFmtId="0" fontId="10" fillId="2" borderId="0" xfId="0" applyFont="1" applyFill="1" applyBorder="1"/>
    <xf numFmtId="0" fontId="11" fillId="2" borderId="0" xfId="0" applyFont="1" applyFill="1" applyBorder="1"/>
    <xf numFmtId="0" fontId="11" fillId="2" borderId="5" xfId="0" applyFont="1" applyFill="1" applyBorder="1"/>
    <xf numFmtId="0" fontId="10" fillId="2" borderId="6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right"/>
    </xf>
    <xf numFmtId="165" fontId="10" fillId="2" borderId="7" xfId="0" applyNumberFormat="1" applyFont="1" applyFill="1" applyBorder="1" applyAlignment="1">
      <alignment horizontal="center"/>
    </xf>
    <xf numFmtId="0" fontId="10" fillId="2" borderId="7" xfId="0" applyFont="1" applyFill="1" applyBorder="1"/>
    <xf numFmtId="0" fontId="11" fillId="2" borderId="7" xfId="0" applyFont="1" applyFill="1" applyBorder="1"/>
    <xf numFmtId="0" fontId="11" fillId="2" borderId="8" xfId="0" applyFont="1" applyFill="1" applyBorder="1"/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164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/>
    <xf numFmtId="0" fontId="10" fillId="3" borderId="13" xfId="0" applyFont="1" applyFill="1" applyBorder="1"/>
    <xf numFmtId="0" fontId="10" fillId="3" borderId="14" xfId="0" applyFont="1" applyFill="1" applyBorder="1"/>
    <xf numFmtId="0" fontId="10" fillId="3" borderId="15" xfId="0" applyFont="1" applyFill="1" applyBorder="1"/>
    <xf numFmtId="0" fontId="12" fillId="3" borderId="14" xfId="0" applyFont="1" applyFill="1" applyBorder="1" applyAlignment="1">
      <alignment horizontal="center"/>
    </xf>
    <xf numFmtId="0" fontId="12" fillId="3" borderId="15" xfId="0" applyFont="1" applyFill="1" applyBorder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3" borderId="16" xfId="0" applyFont="1" applyFill="1" applyBorder="1"/>
    <xf numFmtId="0" fontId="10" fillId="3" borderId="0" xfId="0" applyFont="1" applyFill="1" applyBorder="1" applyAlignment="1">
      <alignment horizontal="center"/>
    </xf>
    <xf numFmtId="0" fontId="10" fillId="3" borderId="17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12" fillId="3" borderId="16" xfId="0" applyFont="1" applyFill="1" applyBorder="1" applyAlignment="1">
      <alignment horizontal="center"/>
    </xf>
    <xf numFmtId="0" fontId="12" fillId="3" borderId="17" xfId="0" applyFont="1" applyFill="1" applyBorder="1" applyAlignment="1">
      <alignment horizontal="center"/>
    </xf>
    <xf numFmtId="0" fontId="12" fillId="3" borderId="0" xfId="0" applyFont="1" applyFill="1" applyBorder="1"/>
    <xf numFmtId="0" fontId="12" fillId="3" borderId="17" xfId="0" applyFont="1" applyFill="1" applyBorder="1"/>
    <xf numFmtId="11" fontId="12" fillId="3" borderId="0" xfId="0" applyNumberFormat="1" applyFont="1" applyFill="1" applyBorder="1" applyAlignment="1">
      <alignment horizontal="center"/>
    </xf>
    <xf numFmtId="11" fontId="12" fillId="3" borderId="16" xfId="0" applyNumberFormat="1" applyFont="1" applyFill="1" applyBorder="1" applyAlignment="1">
      <alignment horizontal="center"/>
    </xf>
    <xf numFmtId="11" fontId="12" fillId="3" borderId="17" xfId="0" applyNumberFormat="1" applyFont="1" applyFill="1" applyBorder="1" applyAlignment="1">
      <alignment horizontal="center"/>
    </xf>
    <xf numFmtId="2" fontId="12" fillId="3" borderId="0" xfId="0" applyNumberFormat="1" applyFont="1" applyFill="1" applyBorder="1" applyAlignment="1">
      <alignment horizontal="center"/>
    </xf>
    <xf numFmtId="165" fontId="12" fillId="3" borderId="0" xfId="0" applyNumberFormat="1" applyFont="1" applyFill="1" applyBorder="1" applyAlignment="1">
      <alignment horizontal="center"/>
    </xf>
    <xf numFmtId="164" fontId="12" fillId="3" borderId="17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0" fontId="10" fillId="3" borderId="18" xfId="0" applyFont="1" applyFill="1" applyBorder="1"/>
    <xf numFmtId="0" fontId="10" fillId="3" borderId="19" xfId="0" applyFont="1" applyFill="1" applyBorder="1" applyAlignment="1">
      <alignment horizontal="center"/>
    </xf>
    <xf numFmtId="0" fontId="10" fillId="3" borderId="20" xfId="0" applyFont="1" applyFill="1" applyBorder="1" applyAlignment="1">
      <alignment horizontal="center"/>
    </xf>
    <xf numFmtId="11" fontId="12" fillId="3" borderId="19" xfId="0" applyNumberFormat="1" applyFont="1" applyFill="1" applyBorder="1" applyAlignment="1">
      <alignment horizontal="center"/>
    </xf>
    <xf numFmtId="11" fontId="12" fillId="3" borderId="18" xfId="0" applyNumberFormat="1" applyFont="1" applyFill="1" applyBorder="1" applyAlignment="1">
      <alignment horizontal="center"/>
    </xf>
    <xf numFmtId="11" fontId="12" fillId="3" borderId="20" xfId="0" applyNumberFormat="1" applyFont="1" applyFill="1" applyBorder="1" applyAlignment="1">
      <alignment horizontal="center"/>
    </xf>
    <xf numFmtId="2" fontId="12" fillId="3" borderId="19" xfId="0" applyNumberFormat="1" applyFont="1" applyFill="1" applyBorder="1" applyAlignment="1">
      <alignment horizontal="center"/>
    </xf>
    <xf numFmtId="165" fontId="12" fillId="3" borderId="19" xfId="0" applyNumberFormat="1" applyFont="1" applyFill="1" applyBorder="1" applyAlignment="1">
      <alignment horizontal="center"/>
    </xf>
    <xf numFmtId="1" fontId="12" fillId="3" borderId="19" xfId="0" applyNumberFormat="1" applyFont="1" applyFill="1" applyBorder="1" applyAlignment="1">
      <alignment horizontal="center"/>
    </xf>
    <xf numFmtId="164" fontId="12" fillId="3" borderId="20" xfId="0" applyNumberFormat="1" applyFont="1" applyFill="1" applyBorder="1" applyAlignment="1">
      <alignment horizontal="center"/>
    </xf>
    <xf numFmtId="166" fontId="10" fillId="0" borderId="0" xfId="0" applyNumberFormat="1" applyFont="1" applyFill="1" applyBorder="1" applyAlignment="1">
      <alignment horizontal="center"/>
    </xf>
    <xf numFmtId="0" fontId="10" fillId="3" borderId="15" xfId="0" applyFont="1" applyFill="1" applyBorder="1" applyAlignment="1">
      <alignment horizontal="right"/>
    </xf>
    <xf numFmtId="167" fontId="10" fillId="0" borderId="0" xfId="0" applyNumberFormat="1" applyFont="1" applyFill="1" applyBorder="1" applyAlignment="1">
      <alignment horizontal="center"/>
    </xf>
    <xf numFmtId="0" fontId="10" fillId="3" borderId="16" xfId="0" applyFont="1" applyFill="1" applyBorder="1" applyAlignment="1">
      <alignment horizontal="center"/>
    </xf>
    <xf numFmtId="164" fontId="10" fillId="3" borderId="0" xfId="0" applyNumberFormat="1" applyFont="1" applyFill="1" applyBorder="1" applyAlignment="1">
      <alignment horizontal="center"/>
    </xf>
    <xf numFmtId="164" fontId="10" fillId="3" borderId="17" xfId="0" applyNumberFormat="1" applyFont="1" applyFill="1" applyBorder="1" applyAlignment="1">
      <alignment horizontal="center"/>
    </xf>
    <xf numFmtId="164" fontId="10" fillId="3" borderId="16" xfId="0" applyNumberFormat="1" applyFont="1" applyFill="1" applyBorder="1" applyAlignment="1">
      <alignment horizontal="center"/>
    </xf>
    <xf numFmtId="49" fontId="10" fillId="3" borderId="16" xfId="0" applyNumberFormat="1" applyFont="1" applyFill="1" applyBorder="1" applyAlignment="1">
      <alignment horizontal="center"/>
    </xf>
    <xf numFmtId="1" fontId="10" fillId="3" borderId="0" xfId="0" applyNumberFormat="1" applyFont="1" applyFill="1" applyBorder="1" applyAlignment="1">
      <alignment horizontal="center"/>
    </xf>
    <xf numFmtId="49" fontId="10" fillId="3" borderId="0" xfId="0" applyNumberFormat="1" applyFont="1" applyFill="1" applyBorder="1" applyAlignment="1">
      <alignment horizontal="center"/>
    </xf>
    <xf numFmtId="166" fontId="10" fillId="3" borderId="0" xfId="0" applyNumberFormat="1" applyFont="1" applyFill="1" applyBorder="1" applyAlignment="1">
      <alignment horizontal="center"/>
    </xf>
    <xf numFmtId="49" fontId="10" fillId="3" borderId="17" xfId="0" applyNumberFormat="1" applyFont="1" applyFill="1" applyBorder="1" applyAlignment="1">
      <alignment horizontal="center"/>
    </xf>
    <xf numFmtId="0" fontId="10" fillId="3" borderId="0" xfId="0" applyFont="1" applyFill="1" applyBorder="1"/>
    <xf numFmtId="0" fontId="10" fillId="3" borderId="19" xfId="0" applyFont="1" applyFill="1" applyBorder="1"/>
    <xf numFmtId="0" fontId="10" fillId="3" borderId="20" xfId="0" applyFont="1" applyFill="1" applyBorder="1"/>
    <xf numFmtId="0" fontId="10" fillId="3" borderId="18" xfId="0" applyFont="1" applyFill="1" applyBorder="1" applyAlignment="1">
      <alignment horizontal="center"/>
    </xf>
    <xf numFmtId="164" fontId="10" fillId="3" borderId="19" xfId="0" applyNumberFormat="1" applyFont="1" applyFill="1" applyBorder="1" applyAlignment="1">
      <alignment horizontal="center"/>
    </xf>
    <xf numFmtId="164" fontId="10" fillId="3" borderId="20" xfId="0" applyNumberFormat="1" applyFont="1" applyFill="1" applyBorder="1" applyAlignment="1">
      <alignment horizontal="center"/>
    </xf>
    <xf numFmtId="49" fontId="10" fillId="3" borderId="18" xfId="0" applyNumberFormat="1" applyFont="1" applyFill="1" applyBorder="1" applyAlignment="1">
      <alignment horizontal="center"/>
    </xf>
    <xf numFmtId="1" fontId="10" fillId="3" borderId="19" xfId="0" applyNumberFormat="1" applyFont="1" applyFill="1" applyBorder="1" applyAlignment="1">
      <alignment horizontal="center"/>
    </xf>
    <xf numFmtId="49" fontId="10" fillId="3" borderId="19" xfId="0" applyNumberFormat="1" applyFont="1" applyFill="1" applyBorder="1" applyAlignment="1">
      <alignment horizontal="center"/>
    </xf>
    <xf numFmtId="166" fontId="10" fillId="3" borderId="19" xfId="0" applyNumberFormat="1" applyFont="1" applyFill="1" applyBorder="1" applyAlignment="1">
      <alignment horizontal="center"/>
    </xf>
    <xf numFmtId="49" fontId="10" fillId="3" borderId="20" xfId="0" applyNumberFormat="1" applyFont="1" applyFill="1" applyBorder="1" applyAlignment="1">
      <alignment horizontal="center"/>
    </xf>
    <xf numFmtId="0" fontId="10" fillId="3" borderId="13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164" fontId="10" fillId="3" borderId="14" xfId="0" applyNumberFormat="1" applyFont="1" applyFill="1" applyBorder="1" applyAlignment="1">
      <alignment horizontal="center"/>
    </xf>
    <xf numFmtId="164" fontId="10" fillId="0" borderId="0" xfId="0" applyNumberFormat="1" applyFont="1" applyAlignment="1">
      <alignment horizontal="center"/>
    </xf>
    <xf numFmtId="164" fontId="10" fillId="3" borderId="18" xfId="0" applyNumberFormat="1" applyFont="1" applyFill="1" applyBorder="1" applyAlignment="1">
      <alignment horizontal="center"/>
    </xf>
    <xf numFmtId="0" fontId="11" fillId="0" borderId="0" xfId="0" applyFont="1" applyAlignment="1"/>
    <xf numFmtId="0" fontId="10" fillId="3" borderId="16" xfId="0" applyFont="1" applyFill="1" applyBorder="1" applyAlignment="1">
      <alignment horizontal="right"/>
    </xf>
    <xf numFmtId="0" fontId="10" fillId="3" borderId="18" xfId="0" applyFont="1" applyFill="1" applyBorder="1" applyAlignment="1">
      <alignment horizontal="right"/>
    </xf>
    <xf numFmtId="0" fontId="10" fillId="0" borderId="0" xfId="0" applyFont="1" applyAlignment="1">
      <alignment horizontal="center"/>
    </xf>
    <xf numFmtId="0" fontId="10" fillId="3" borderId="18" xfId="0" applyFont="1" applyFill="1" applyBorder="1" applyAlignment="1">
      <alignment horizontal="center"/>
    </xf>
    <xf numFmtId="0" fontId="10" fillId="3" borderId="20" xfId="0" applyFont="1" applyFill="1" applyBorder="1" applyAlignment="1">
      <alignment horizontal="center"/>
    </xf>
    <xf numFmtId="166" fontId="10" fillId="3" borderId="17" xfId="0" applyNumberFormat="1" applyFont="1" applyFill="1" applyBorder="1" applyAlignment="1">
      <alignment horizontal="left"/>
    </xf>
    <xf numFmtId="165" fontId="10" fillId="3" borderId="17" xfId="0" applyNumberFormat="1" applyFont="1" applyFill="1" applyBorder="1" applyAlignment="1">
      <alignment horizontal="left"/>
    </xf>
    <xf numFmtId="165" fontId="10" fillId="3" borderId="20" xfId="0" applyNumberFormat="1" applyFont="1" applyFill="1" applyBorder="1" applyAlignment="1">
      <alignment horizontal="left"/>
    </xf>
    <xf numFmtId="0" fontId="10" fillId="5" borderId="16" xfId="0" applyFont="1" applyFill="1" applyBorder="1" applyAlignment="1">
      <alignment horizontal="right"/>
    </xf>
    <xf numFmtId="0" fontId="10" fillId="5" borderId="17" xfId="0" applyFont="1" applyFill="1" applyBorder="1" applyAlignment="1">
      <alignment horizontal="left"/>
    </xf>
    <xf numFmtId="0" fontId="10" fillId="5" borderId="18" xfId="0" applyFont="1" applyFill="1" applyBorder="1" applyAlignment="1">
      <alignment horizontal="right"/>
    </xf>
    <xf numFmtId="165" fontId="10" fillId="2" borderId="44" xfId="0" applyNumberFormat="1" applyFont="1" applyFill="1" applyBorder="1" applyAlignment="1">
      <alignment horizontal="left"/>
    </xf>
    <xf numFmtId="165" fontId="10" fillId="2" borderId="46" xfId="0" applyNumberFormat="1" applyFont="1" applyFill="1" applyBorder="1" applyAlignment="1">
      <alignment horizontal="left"/>
    </xf>
    <xf numFmtId="0" fontId="10" fillId="2" borderId="35" xfId="0" applyFont="1" applyFill="1" applyBorder="1" applyAlignment="1">
      <alignment horizontal="right"/>
    </xf>
    <xf numFmtId="0" fontId="10" fillId="2" borderId="50" xfId="0" applyFont="1" applyFill="1" applyBorder="1" applyAlignment="1">
      <alignment horizontal="right"/>
    </xf>
    <xf numFmtId="0" fontId="10" fillId="2" borderId="51" xfId="0" applyFont="1" applyFill="1" applyBorder="1" applyAlignment="1">
      <alignment horizontal="right"/>
    </xf>
    <xf numFmtId="0" fontId="10" fillId="2" borderId="40" xfId="0" applyFont="1" applyFill="1" applyBorder="1" applyAlignment="1">
      <alignment horizontal="right"/>
    </xf>
    <xf numFmtId="0" fontId="10" fillId="5" borderId="52" xfId="0" applyFont="1" applyFill="1" applyBorder="1"/>
    <xf numFmtId="0" fontId="10" fillId="5" borderId="53" xfId="0" applyFont="1" applyFill="1" applyBorder="1"/>
    <xf numFmtId="0" fontId="10" fillId="5" borderId="54" xfId="0" applyFont="1" applyFill="1" applyBorder="1"/>
    <xf numFmtId="0" fontId="10" fillId="6" borderId="55" xfId="0" applyFont="1" applyFill="1" applyBorder="1"/>
    <xf numFmtId="0" fontId="10" fillId="6" borderId="49" xfId="0" applyFont="1" applyFill="1" applyBorder="1"/>
    <xf numFmtId="165" fontId="10" fillId="2" borderId="36" xfId="0" applyNumberFormat="1" applyFont="1" applyFill="1" applyBorder="1" applyAlignment="1">
      <alignment horizontal="left"/>
    </xf>
    <xf numFmtId="165" fontId="10" fillId="2" borderId="41" xfId="0" applyNumberFormat="1" applyFont="1" applyFill="1" applyBorder="1" applyAlignment="1">
      <alignment horizontal="left"/>
    </xf>
    <xf numFmtId="0" fontId="10" fillId="2" borderId="35" xfId="0" applyFont="1" applyFill="1" applyBorder="1"/>
    <xf numFmtId="0" fontId="10" fillId="2" borderId="37" xfId="0" applyFont="1" applyFill="1" applyBorder="1"/>
    <xf numFmtId="0" fontId="10" fillId="2" borderId="38" xfId="0" applyFont="1" applyFill="1" applyBorder="1" applyAlignment="1">
      <alignment horizontal="right"/>
    </xf>
    <xf numFmtId="167" fontId="10" fillId="2" borderId="39" xfId="0" applyNumberFormat="1" applyFont="1" applyFill="1" applyBorder="1" applyAlignment="1">
      <alignment horizontal="left"/>
    </xf>
    <xf numFmtId="167" fontId="10" fillId="2" borderId="42" xfId="0" applyNumberFormat="1" applyFont="1" applyFill="1" applyBorder="1" applyAlignment="1">
      <alignment horizontal="left"/>
    </xf>
    <xf numFmtId="0" fontId="11" fillId="2" borderId="35" xfId="0" applyFont="1" applyFill="1" applyBorder="1"/>
    <xf numFmtId="0" fontId="11" fillId="2" borderId="37" xfId="0" applyFont="1" applyFill="1" applyBorder="1"/>
    <xf numFmtId="0" fontId="10" fillId="2" borderId="23" xfId="0" applyFont="1" applyFill="1" applyBorder="1" applyAlignment="1">
      <alignment horizontal="right"/>
    </xf>
    <xf numFmtId="164" fontId="10" fillId="2" borderId="24" xfId="0" applyNumberFormat="1" applyFont="1" applyFill="1" applyBorder="1" applyAlignment="1">
      <alignment horizontal="left"/>
    </xf>
    <xf numFmtId="165" fontId="10" fillId="4" borderId="0" xfId="0" applyNumberFormat="1" applyFont="1" applyFill="1" applyBorder="1" applyAlignment="1">
      <alignment horizontal="left"/>
    </xf>
    <xf numFmtId="166" fontId="10" fillId="4" borderId="0" xfId="0" applyNumberFormat="1" applyFont="1" applyFill="1" applyBorder="1" applyAlignment="1">
      <alignment horizontal="left"/>
    </xf>
    <xf numFmtId="164" fontId="10" fillId="2" borderId="36" xfId="0" applyNumberFormat="1" applyFont="1" applyFill="1" applyBorder="1" applyAlignment="1">
      <alignment horizontal="left"/>
    </xf>
    <xf numFmtId="0" fontId="10" fillId="4" borderId="25" xfId="0" applyFont="1" applyFill="1" applyBorder="1" applyAlignment="1">
      <alignment horizontal="right"/>
    </xf>
    <xf numFmtId="165" fontId="10" fillId="4" borderId="21" xfId="0" applyNumberFormat="1" applyFont="1" applyFill="1" applyBorder="1" applyAlignment="1">
      <alignment horizontal="left"/>
    </xf>
    <xf numFmtId="166" fontId="10" fillId="4" borderId="27" xfId="0" applyNumberFormat="1" applyFont="1" applyFill="1" applyBorder="1" applyAlignment="1">
      <alignment horizontal="left"/>
    </xf>
    <xf numFmtId="168" fontId="10" fillId="2" borderId="37" xfId="0" applyNumberFormat="1" applyFont="1" applyFill="1" applyBorder="1" applyAlignment="1">
      <alignment horizontal="left"/>
    </xf>
    <xf numFmtId="168" fontId="10" fillId="2" borderId="39" xfId="0" applyNumberFormat="1" applyFont="1" applyFill="1" applyBorder="1" applyAlignment="1">
      <alignment horizontal="left"/>
    </xf>
    <xf numFmtId="168" fontId="10" fillId="2" borderId="42" xfId="0" applyNumberFormat="1" applyFont="1" applyFill="1" applyBorder="1" applyAlignment="1">
      <alignment horizontal="left"/>
    </xf>
    <xf numFmtId="2" fontId="10" fillId="2" borderId="39" xfId="0" applyNumberFormat="1" applyFont="1" applyFill="1" applyBorder="1" applyAlignment="1">
      <alignment horizontal="left"/>
    </xf>
    <xf numFmtId="0" fontId="10" fillId="0" borderId="0" xfId="0" applyFont="1" applyAlignment="1">
      <alignment horizontal="center"/>
    </xf>
    <xf numFmtId="0" fontId="15" fillId="0" borderId="0" xfId="0" applyFont="1" applyFill="1" applyBorder="1"/>
    <xf numFmtId="1" fontId="10" fillId="2" borderId="0" xfId="0" applyNumberFormat="1" applyFont="1" applyFill="1" applyBorder="1" applyAlignment="1">
      <alignment horizontal="center"/>
    </xf>
    <xf numFmtId="164" fontId="10" fillId="2" borderId="5" xfId="0" applyNumberFormat="1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10" fillId="3" borderId="13" xfId="0" applyFont="1" applyFill="1" applyBorder="1" applyAlignment="1">
      <alignment horizontal="left"/>
    </xf>
    <xf numFmtId="0" fontId="10" fillId="3" borderId="17" xfId="0" applyFont="1" applyFill="1" applyBorder="1"/>
    <xf numFmtId="0" fontId="10" fillId="3" borderId="18" xfId="0" applyFont="1" applyFill="1" applyBorder="1" applyAlignment="1">
      <alignment horizontal="left"/>
    </xf>
    <xf numFmtId="2" fontId="10" fillId="0" borderId="0" xfId="0" applyNumberFormat="1" applyFont="1"/>
    <xf numFmtId="165" fontId="10" fillId="3" borderId="0" xfId="0" applyNumberFormat="1" applyFont="1" applyFill="1" applyBorder="1" applyAlignment="1">
      <alignment horizontal="center"/>
    </xf>
    <xf numFmtId="165" fontId="10" fillId="3" borderId="17" xfId="0" applyNumberFormat="1" applyFont="1" applyFill="1" applyBorder="1" applyAlignment="1">
      <alignment horizontal="center"/>
    </xf>
    <xf numFmtId="165" fontId="10" fillId="3" borderId="19" xfId="0" applyNumberFormat="1" applyFont="1" applyFill="1" applyBorder="1" applyAlignment="1">
      <alignment horizontal="center"/>
    </xf>
    <xf numFmtId="165" fontId="10" fillId="3" borderId="20" xfId="0" applyNumberFormat="1" applyFont="1" applyFill="1" applyBorder="1" applyAlignment="1">
      <alignment horizontal="center"/>
    </xf>
    <xf numFmtId="0" fontId="10" fillId="3" borderId="0" xfId="0" applyFont="1" applyFill="1" applyBorder="1" applyAlignment="1">
      <alignment horizontal="right"/>
    </xf>
    <xf numFmtId="165" fontId="10" fillId="3" borderId="0" xfId="0" applyNumberFormat="1" applyFont="1" applyFill="1" applyBorder="1" applyAlignment="1">
      <alignment horizontal="left"/>
    </xf>
    <xf numFmtId="0" fontId="10" fillId="5" borderId="65" xfId="0" applyFont="1" applyFill="1" applyBorder="1" applyAlignment="1">
      <alignment horizontal="right"/>
    </xf>
    <xf numFmtId="166" fontId="10" fillId="5" borderId="66" xfId="0" applyNumberFormat="1" applyFont="1" applyFill="1" applyBorder="1" applyAlignment="1">
      <alignment horizontal="left"/>
    </xf>
    <xf numFmtId="0" fontId="21" fillId="0" borderId="0" xfId="0" applyFont="1"/>
    <xf numFmtId="165" fontId="2" fillId="0" borderId="0" xfId="0" applyNumberFormat="1" applyFont="1"/>
    <xf numFmtId="0" fontId="21" fillId="0" borderId="0" xfId="0" applyFont="1" applyAlignment="1">
      <alignment horizontal="center"/>
    </xf>
    <xf numFmtId="165" fontId="21" fillId="0" borderId="0" xfId="0" applyNumberFormat="1" applyFont="1" applyAlignment="1">
      <alignment horizontal="center"/>
    </xf>
    <xf numFmtId="166" fontId="2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5" fontId="10" fillId="2" borderId="7" xfId="0" applyNumberFormat="1" applyFont="1" applyFill="1" applyBorder="1" applyAlignment="1">
      <alignment horizontal="left"/>
    </xf>
    <xf numFmtId="0" fontId="12" fillId="3" borderId="14" xfId="0" applyFont="1" applyFill="1" applyBorder="1" applyAlignment="1">
      <alignment horizontal="center"/>
    </xf>
    <xf numFmtId="0" fontId="12" fillId="3" borderId="15" xfId="0" applyFont="1" applyFill="1" applyBorder="1" applyAlignment="1">
      <alignment horizontal="center"/>
    </xf>
    <xf numFmtId="0" fontId="10" fillId="4" borderId="9" xfId="0" applyFont="1" applyFill="1" applyBorder="1" applyAlignment="1">
      <alignment horizontal="center"/>
    </xf>
    <xf numFmtId="0" fontId="10" fillId="4" borderId="10" xfId="0" applyFont="1" applyFill="1" applyBorder="1" applyAlignment="1">
      <alignment horizontal="center"/>
    </xf>
    <xf numFmtId="0" fontId="10" fillId="3" borderId="20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166" fontId="10" fillId="5" borderId="20" xfId="0" applyNumberFormat="1" applyFont="1" applyFill="1" applyBorder="1" applyAlignment="1">
      <alignment horizontal="left"/>
    </xf>
    <xf numFmtId="168" fontId="10" fillId="3" borderId="0" xfId="0" applyNumberFormat="1" applyFont="1" applyFill="1" applyBorder="1" applyAlignment="1">
      <alignment horizontal="center"/>
    </xf>
    <xf numFmtId="0" fontId="7" fillId="3" borderId="13" xfId="0" applyFont="1" applyFill="1" applyBorder="1"/>
    <xf numFmtId="0" fontId="10" fillId="3" borderId="14" xfId="0" applyFont="1" applyFill="1" applyBorder="1" applyAlignment="1">
      <alignment horizontal="right"/>
    </xf>
    <xf numFmtId="0" fontId="10" fillId="3" borderId="14" xfId="0" applyFont="1" applyFill="1" applyBorder="1" applyAlignment="1">
      <alignment horizontal="left"/>
    </xf>
    <xf numFmtId="164" fontId="10" fillId="3" borderId="15" xfId="0" applyNumberFormat="1" applyFont="1" applyFill="1" applyBorder="1" applyAlignment="1">
      <alignment horizontal="left"/>
    </xf>
    <xf numFmtId="0" fontId="7" fillId="3" borderId="16" xfId="0" applyFont="1" applyFill="1" applyBorder="1"/>
    <xf numFmtId="164" fontId="10" fillId="3" borderId="17" xfId="0" applyNumberFormat="1" applyFont="1" applyFill="1" applyBorder="1" applyAlignment="1">
      <alignment horizontal="left"/>
    </xf>
    <xf numFmtId="0" fontId="7" fillId="3" borderId="18" xfId="0" applyFont="1" applyFill="1" applyBorder="1" applyAlignment="1">
      <alignment horizontal="left"/>
    </xf>
    <xf numFmtId="2" fontId="10" fillId="3" borderId="19" xfId="0" applyNumberFormat="1" applyFont="1" applyFill="1" applyBorder="1" applyAlignment="1">
      <alignment horizontal="center"/>
    </xf>
    <xf numFmtId="0" fontId="10" fillId="3" borderId="19" xfId="0" applyFont="1" applyFill="1" applyBorder="1" applyAlignment="1">
      <alignment horizontal="right"/>
    </xf>
    <xf numFmtId="165" fontId="10" fillId="3" borderId="19" xfId="0" applyNumberFormat="1" applyFont="1" applyFill="1" applyBorder="1" applyAlignment="1">
      <alignment horizontal="left"/>
    </xf>
    <xf numFmtId="168" fontId="10" fillId="3" borderId="19" xfId="0" applyNumberFormat="1" applyFont="1" applyFill="1" applyBorder="1" applyAlignment="1">
      <alignment horizontal="center"/>
    </xf>
    <xf numFmtId="0" fontId="10" fillId="3" borderId="19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1" fillId="0" borderId="0" xfId="0" applyFont="1" applyFill="1" applyBorder="1"/>
    <xf numFmtId="0" fontId="0" fillId="0" borderId="0" xfId="0" applyFill="1" applyBorder="1"/>
    <xf numFmtId="49" fontId="10" fillId="0" borderId="0" xfId="0" applyNumberFormat="1" applyFont="1" applyFill="1" applyBorder="1" applyAlignment="1">
      <alignment horizontal="center"/>
    </xf>
    <xf numFmtId="1" fontId="10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166" fontId="12" fillId="0" borderId="0" xfId="0" applyNumberFormat="1" applyFont="1" applyFill="1" applyBorder="1" applyAlignment="1">
      <alignment horizontal="center"/>
    </xf>
    <xf numFmtId="165" fontId="10" fillId="0" borderId="0" xfId="0" applyNumberFormat="1" applyFont="1" applyFill="1" applyBorder="1" applyAlignment="1">
      <alignment horizontal="center"/>
    </xf>
    <xf numFmtId="0" fontId="21" fillId="0" borderId="0" xfId="0" applyFont="1" applyFill="1" applyBorder="1"/>
    <xf numFmtId="0" fontId="21" fillId="0" borderId="0" xfId="0" applyFont="1" applyFill="1" applyBorder="1" applyAlignment="1">
      <alignment horizontal="center"/>
    </xf>
    <xf numFmtId="165" fontId="21" fillId="0" borderId="0" xfId="0" applyNumberFormat="1" applyFont="1" applyFill="1" applyBorder="1" applyAlignment="1">
      <alignment horizontal="center"/>
    </xf>
    <xf numFmtId="166" fontId="2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166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/>
    <xf numFmtId="165" fontId="10" fillId="0" borderId="0" xfId="0" applyNumberFormat="1" applyFont="1" applyFill="1" applyBorder="1" applyAlignment="1">
      <alignment horizontal="left"/>
    </xf>
    <xf numFmtId="0" fontId="12" fillId="3" borderId="14" xfId="0" applyFont="1" applyFill="1" applyBorder="1" applyAlignment="1">
      <alignment horizontal="center"/>
    </xf>
    <xf numFmtId="0" fontId="12" fillId="3" borderId="15" xfId="0" applyFont="1" applyFill="1" applyBorder="1" applyAlignment="1">
      <alignment horizontal="center"/>
    </xf>
    <xf numFmtId="0" fontId="10" fillId="3" borderId="2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3" borderId="13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0" fontId="12" fillId="3" borderId="13" xfId="0" applyFont="1" applyFill="1" applyBorder="1" applyAlignment="1">
      <alignment horizontal="center"/>
    </xf>
    <xf numFmtId="0" fontId="12" fillId="3" borderId="14" xfId="0" applyFont="1" applyFill="1" applyBorder="1" applyAlignment="1">
      <alignment horizontal="center"/>
    </xf>
    <xf numFmtId="0" fontId="12" fillId="3" borderId="15" xfId="0" applyFont="1" applyFill="1" applyBorder="1" applyAlignment="1">
      <alignment horizontal="center"/>
    </xf>
    <xf numFmtId="0" fontId="10" fillId="4" borderId="9" xfId="0" applyFont="1" applyFill="1" applyBorder="1" applyAlignment="1">
      <alignment horizontal="center"/>
    </xf>
    <xf numFmtId="0" fontId="10" fillId="4" borderId="10" xfId="0" applyFont="1" applyFill="1" applyBorder="1" applyAlignment="1">
      <alignment horizontal="center"/>
    </xf>
    <xf numFmtId="0" fontId="10" fillId="6" borderId="47" xfId="0" applyFont="1" applyFill="1" applyBorder="1" applyAlignment="1">
      <alignment horizontal="center"/>
    </xf>
    <xf numFmtId="0" fontId="10" fillId="6" borderId="57" xfId="0" applyFont="1" applyFill="1" applyBorder="1" applyAlignment="1">
      <alignment horizontal="center"/>
    </xf>
    <xf numFmtId="0" fontId="10" fillId="6" borderId="48" xfId="0" applyFont="1" applyFill="1" applyBorder="1" applyAlignment="1">
      <alignment horizontal="center"/>
    </xf>
    <xf numFmtId="0" fontId="10" fillId="4" borderId="9" xfId="0" applyFont="1" applyFill="1" applyBorder="1" applyAlignment="1">
      <alignment horizontal="right" vertical="center"/>
    </xf>
    <xf numFmtId="0" fontId="10" fillId="4" borderId="58" xfId="0" applyFont="1" applyFill="1" applyBorder="1" applyAlignment="1">
      <alignment horizontal="right" vertical="center"/>
    </xf>
    <xf numFmtId="2" fontId="10" fillId="4" borderId="59" xfId="0" applyNumberFormat="1" applyFont="1" applyFill="1" applyBorder="1" applyAlignment="1">
      <alignment horizontal="left" vertical="center"/>
    </xf>
    <xf numFmtId="2" fontId="10" fillId="4" borderId="60" xfId="0" applyNumberFormat="1" applyFont="1" applyFill="1" applyBorder="1" applyAlignment="1">
      <alignment horizontal="left" vertical="center"/>
    </xf>
    <xf numFmtId="0" fontId="10" fillId="4" borderId="56" xfId="0" applyFont="1" applyFill="1" applyBorder="1" applyAlignment="1">
      <alignment horizontal="right" vertical="center"/>
    </xf>
    <xf numFmtId="0" fontId="10" fillId="4" borderId="11" xfId="0" applyFont="1" applyFill="1" applyBorder="1" applyAlignment="1">
      <alignment horizontal="right" vertical="center"/>
    </xf>
    <xf numFmtId="2" fontId="10" fillId="4" borderId="61" xfId="0" applyNumberFormat="1" applyFont="1" applyFill="1" applyBorder="1" applyAlignment="1">
      <alignment horizontal="left" vertical="center"/>
    </xf>
    <xf numFmtId="2" fontId="10" fillId="4" borderId="62" xfId="0" applyNumberFormat="1" applyFont="1" applyFill="1" applyBorder="1" applyAlignment="1">
      <alignment horizontal="left" vertical="center"/>
    </xf>
    <xf numFmtId="0" fontId="10" fillId="3" borderId="18" xfId="0" applyFont="1" applyFill="1" applyBorder="1" applyAlignment="1">
      <alignment horizontal="center"/>
    </xf>
    <xf numFmtId="0" fontId="10" fillId="3" borderId="20" xfId="0" applyFont="1" applyFill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6" borderId="43" xfId="0" applyFont="1" applyFill="1" applyBorder="1" applyAlignment="1">
      <alignment horizontal="center"/>
    </xf>
    <xf numFmtId="0" fontId="10" fillId="6" borderId="44" xfId="0" applyFont="1" applyFill="1" applyBorder="1" applyAlignment="1">
      <alignment horizontal="center"/>
    </xf>
    <xf numFmtId="0" fontId="10" fillId="6" borderId="45" xfId="0" applyFont="1" applyFill="1" applyBorder="1" applyAlignment="1">
      <alignment horizontal="center"/>
    </xf>
    <xf numFmtId="0" fontId="10" fillId="6" borderId="63" xfId="0" applyFont="1" applyFill="1" applyBorder="1" applyAlignment="1">
      <alignment horizontal="center"/>
    </xf>
    <xf numFmtId="0" fontId="10" fillId="6" borderId="64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20" fillId="0" borderId="0" xfId="0" applyFont="1"/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chartsheet" Target="chartsheets/sheet4.xml"/><Relationship Id="rId12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11" Type="http://schemas.openxmlformats.org/officeDocument/2006/relationships/worksheet" Target="worksheets/sheet6.xml"/><Relationship Id="rId5" Type="http://schemas.openxmlformats.org/officeDocument/2006/relationships/chartsheet" Target="chartsheets/sheet2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5.xml"/><Relationship Id="rId4" Type="http://schemas.openxmlformats.org/officeDocument/2006/relationships/chartsheet" Target="chartsheets/sheet1.xml"/><Relationship Id="rId9" Type="http://schemas.openxmlformats.org/officeDocument/2006/relationships/chartsheet" Target="chartsheets/sheet5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520522468700826"/>
          <c:y val="5.7319949724792499E-2"/>
          <c:w val="0.84648726129159257"/>
          <c:h val="0.79760453019232858"/>
        </c:manualLayout>
      </c:layout>
      <c:scatterChart>
        <c:scatterStyle val="smoothMarker"/>
        <c:varyColors val="0"/>
        <c:ser>
          <c:idx val="0"/>
          <c:order val="0"/>
          <c:tx>
            <c:v>Equilibrium Curve</c:v>
          </c:tx>
          <c:spPr>
            <a:ln w="28575">
              <a:solidFill>
                <a:schemeClr val="tx1"/>
              </a:solidFill>
              <a:prstDash val="solid"/>
            </a:ln>
          </c:spPr>
          <c:marker>
            <c:symbol val="none"/>
          </c:marker>
          <c:xVal>
            <c:numRef>
              <c:f>VLE!$A$5:$A$105</c:f>
              <c:numCache>
                <c:formatCode>0.00</c:formatCod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</c:numCache>
            </c:numRef>
          </c:xVal>
          <c:yVal>
            <c:numRef>
              <c:f>VLE!$B$5:$B$105</c:f>
              <c:numCache>
                <c:formatCode>0.000</c:formatCode>
                <c:ptCount val="101"/>
                <c:pt idx="0">
                  <c:v>0</c:v>
                </c:pt>
                <c:pt idx="1">
                  <c:v>2.5640878576755326E-2</c:v>
                </c:pt>
                <c:pt idx="2">
                  <c:v>5.0587497787524756E-2</c:v>
                </c:pt>
                <c:pt idx="3">
                  <c:v>7.4863026718142836E-2</c:v>
                </c:pt>
                <c:pt idx="4">
                  <c:v>9.848974881967977E-2</c:v>
                </c:pt>
                <c:pt idx="5">
                  <c:v>0.12148909845244009</c:v>
                </c:pt>
                <c:pt idx="6">
                  <c:v>0.14388169590102942</c:v>
                </c:pt>
                <c:pt idx="7">
                  <c:v>0.16568738091898497</c:v>
                </c:pt>
                <c:pt idx="8">
                  <c:v>0.18692524486001427</c:v>
                </c:pt>
                <c:pt idx="9">
                  <c:v>0.20761366145139576</c:v>
                </c:pt>
                <c:pt idx="10">
                  <c:v>0.22777031626352706</c:v>
                </c:pt>
                <c:pt idx="11">
                  <c:v>0.24741223492803188</c:v>
                </c:pt>
                <c:pt idx="12">
                  <c:v>0.26655581015523289</c:v>
                </c:pt>
                <c:pt idx="13">
                  <c:v>0.28521682760016842</c:v>
                </c:pt>
                <c:pt idx="14">
                  <c:v>0.3034104906247202</c:v>
                </c:pt>
                <c:pt idx="15">
                  <c:v>0.32115144400180273</c:v>
                </c:pt>
                <c:pt idx="16">
                  <c:v>0.33845379660594649</c:v>
                </c:pt>
                <c:pt idx="17">
                  <c:v>0.35533114313304032</c:v>
                </c:pt>
                <c:pt idx="18">
                  <c:v>0.37179658489041351</c:v>
                </c:pt>
                <c:pt idx="19">
                  <c:v>0.38786274969691076</c:v>
                </c:pt>
                <c:pt idx="20">
                  <c:v>0.40354181093109981</c:v>
                </c:pt>
                <c:pt idx="21">
                  <c:v>0.41884550576427426</c:v>
                </c:pt>
                <c:pt idx="22">
                  <c:v>0.43378515261347472</c:v>
                </c:pt>
                <c:pt idx="23">
                  <c:v>0.44837166784834204</c:v>
                </c:pt>
                <c:pt idx="24">
                  <c:v>0.46261558178426448</c:v>
                </c:pt>
                <c:pt idx="25">
                  <c:v>0.47652705399293588</c:v>
                </c:pt>
                <c:pt idx="26">
                  <c:v>0.49011588796017097</c:v>
                </c:pt>
                <c:pt idx="27">
                  <c:v>0.5033915451195784</c:v>
                </c:pt>
                <c:pt idx="28">
                  <c:v>0.51636315828947355</c:v>
                </c:pt>
                <c:pt idx="29">
                  <c:v>0.52903954453928137</c:v>
                </c:pt>
                <c:pt idx="30">
                  <c:v>0.54142921751051998</c:v>
                </c:pt>
                <c:pt idx="31">
                  <c:v>0.55354039921641296</c:v>
                </c:pt>
                <c:pt idx="32">
                  <c:v>0.5653810313431028</c:v>
                </c:pt>
                <c:pt idx="33">
                  <c:v>0.57695878607447726</c:v>
                </c:pt>
                <c:pt idx="34">
                  <c:v>0.58828107646160444</c:v>
                </c:pt>
                <c:pt idx="35">
                  <c:v>0.5993550663569035</c:v>
                </c:pt>
                <c:pt idx="36">
                  <c:v>0.61018767993225032</c:v>
                </c:pt>
                <c:pt idx="37">
                  <c:v>0.62078561079938677</c:v>
                </c:pt>
                <c:pt idx="38">
                  <c:v>0.63115533075016905</c:v>
                </c:pt>
                <c:pt idx="39">
                  <c:v>0.64130309813342556</c:v>
                </c:pt>
                <c:pt idx="40">
                  <c:v>0.65123496588443397</c:v>
                </c:pt>
                <c:pt idx="41">
                  <c:v>0.66095678922229961</c:v>
                </c:pt>
                <c:pt idx="42">
                  <c:v>0.67047423302986275</c:v>
                </c:pt>
                <c:pt idx="43">
                  <c:v>0.6797927789300483</c:v>
                </c:pt>
                <c:pt idx="44">
                  <c:v>0.68891773207202323</c:v>
                </c:pt>
                <c:pt idx="45">
                  <c:v>0.69785422763982941</c:v>
                </c:pt>
                <c:pt idx="46">
                  <c:v>0.7066072370956642</c:v>
                </c:pt>
                <c:pt idx="47">
                  <c:v>0.71518157416940287</c:v>
                </c:pt>
                <c:pt idx="48">
                  <c:v>0.72358190060539906</c:v>
                </c:pt>
                <c:pt idx="49">
                  <c:v>0.73181273167717253</c:v>
                </c:pt>
                <c:pt idx="50">
                  <c:v>0.73987844148003423</c:v>
                </c:pt>
                <c:pt idx="51">
                  <c:v>0.7477832680113029</c:v>
                </c:pt>
                <c:pt idx="52">
                  <c:v>0.75553131804728491</c:v>
                </c:pt>
                <c:pt idx="53">
                  <c:v>0.76312657182582899</c:v>
                </c:pt>
                <c:pt idx="54">
                  <c:v>0.77057288754278164</c:v>
                </c:pt>
                <c:pt idx="55">
                  <c:v>0.7778740056704011</c:v>
                </c:pt>
                <c:pt idx="56">
                  <c:v>0.78503355310533096</c:v>
                </c:pt>
                <c:pt idx="57">
                  <c:v>0.79205504715343233</c:v>
                </c:pt>
                <c:pt idx="58">
                  <c:v>0.79894189935845106</c:v>
                </c:pt>
                <c:pt idx="59">
                  <c:v>0.80569741918115545</c:v>
                </c:pt>
                <c:pt idx="60">
                  <c:v>0.81232481753530272</c:v>
                </c:pt>
                <c:pt idx="61">
                  <c:v>0.81882721018649485</c:v>
                </c:pt>
                <c:pt idx="62">
                  <c:v>0.82520762101971412</c:v>
                </c:pt>
                <c:pt idx="63">
                  <c:v>0.83146898518108037</c:v>
                </c:pt>
                <c:pt idx="64">
                  <c:v>0.83761415209908785</c:v>
                </c:pt>
                <c:pt idx="65">
                  <c:v>0.8436458883904181</c:v>
                </c:pt>
                <c:pt idx="66">
                  <c:v>0.84956688065508079</c:v>
                </c:pt>
                <c:pt idx="67">
                  <c:v>0.85537973816556978</c:v>
                </c:pt>
                <c:pt idx="68">
                  <c:v>0.86108699545435796</c:v>
                </c:pt>
                <c:pt idx="69">
                  <c:v>0.86669111480401073</c:v>
                </c:pt>
                <c:pt idx="70">
                  <c:v>0.87219448864388305</c:v>
                </c:pt>
                <c:pt idx="71">
                  <c:v>0.87759944185726313</c:v>
                </c:pt>
                <c:pt idx="72">
                  <c:v>0.88290823400264962</c:v>
                </c:pt>
                <c:pt idx="73">
                  <c:v>0.8881230614526533</c:v>
                </c:pt>
                <c:pt idx="74">
                  <c:v>0.89324605945388347</c:v>
                </c:pt>
                <c:pt idx="75">
                  <c:v>0.89827930411104484</c:v>
                </c:pt>
                <c:pt idx="76">
                  <c:v>0.90322481429829327</c:v>
                </c:pt>
                <c:pt idx="77">
                  <c:v>0.90808455350080008</c:v>
                </c:pt>
                <c:pt idx="78">
                  <c:v>0.91286043158933439</c:v>
                </c:pt>
                <c:pt idx="79">
                  <c:v>0.91755430653053549</c:v>
                </c:pt>
                <c:pt idx="80">
                  <c:v>0.92216798603546601</c:v>
                </c:pt>
                <c:pt idx="81">
                  <c:v>0.9267032291488837</c:v>
                </c:pt>
                <c:pt idx="82">
                  <c:v>0.93116174778160077</c:v>
                </c:pt>
                <c:pt idx="83">
                  <c:v>0.93554520818818621</c:v>
                </c:pt>
                <c:pt idx="84">
                  <c:v>0.93985523239212931</c:v>
                </c:pt>
                <c:pt idx="85">
                  <c:v>0.94409339956059501</c:v>
                </c:pt>
                <c:pt idx="86">
                  <c:v>0.94826124733067729</c:v>
                </c:pt>
                <c:pt idx="87">
                  <c:v>0.95236027308909577</c:v>
                </c:pt>
                <c:pt idx="88">
                  <c:v>0.95639193520711818</c:v>
                </c:pt>
                <c:pt idx="89">
                  <c:v>0.96035765423243846</c:v>
                </c:pt>
                <c:pt idx="90">
                  <c:v>0.96425881403971225</c:v>
                </c:pt>
                <c:pt idx="91">
                  <c:v>0.96809676294128955</c:v>
                </c:pt>
                <c:pt idx="92">
                  <c:v>0.97187281475971343</c:v>
                </c:pt>
                <c:pt idx="93">
                  <c:v>0.97558824986343273</c:v>
                </c:pt>
                <c:pt idx="94">
                  <c:v>0.97924431616709451</c:v>
                </c:pt>
                <c:pt idx="95">
                  <c:v>0.98284223009786031</c:v>
                </c:pt>
                <c:pt idx="96">
                  <c:v>0.98638317752887505</c:v>
                </c:pt>
                <c:pt idx="97">
                  <c:v>0.98986831468128966</c:v>
                </c:pt>
                <c:pt idx="98">
                  <c:v>0.99329876899592406</c:v>
                </c:pt>
                <c:pt idx="99">
                  <c:v>0.99667563997570185</c:v>
                </c:pt>
                <c:pt idx="100">
                  <c:v>0.99999999999999978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2D2-4047-B34D-C6C7711FAF12}"/>
            </c:ext>
          </c:extLst>
        </c:ser>
        <c:ser>
          <c:idx val="1"/>
          <c:order val="1"/>
          <c:tx>
            <c:v>45 Degree Line</c:v>
          </c:tx>
          <c:spPr>
            <a:ln w="28575">
              <a:solidFill>
                <a:srgbClr val="000000"/>
              </a:solidFill>
              <a:prstDash val="dash"/>
            </a:ln>
          </c:spPr>
          <c:marker>
            <c:symbol val="none"/>
          </c:marker>
          <c:xVal>
            <c:numRef>
              <c:f>'10-Tray'!$B$46:$B$47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'10-Tray'!$C$46:$C$47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2D2-4047-B34D-C6C7711FAF12}"/>
            </c:ext>
          </c:extLst>
        </c:ser>
        <c:ser>
          <c:idx val="4"/>
          <c:order val="2"/>
          <c:tx>
            <c:v>TOL</c:v>
          </c:tx>
          <c:spPr>
            <a:ln w="28575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'10-Tray'!$A$29:$A$39</c:f>
              <c:numCache>
                <c:formatCode>General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xVal>
          <c:yVal>
            <c:numRef>
              <c:f>'10-Tray'!$B$29:$B$39</c:f>
              <c:numCache>
                <c:formatCode>0.0000</c:formatCode>
                <c:ptCount val="11"/>
                <c:pt idx="0">
                  <c:v>0.29800652035053227</c:v>
                </c:pt>
                <c:pt idx="1">
                  <c:v>0.36467318701719892</c:v>
                </c:pt>
                <c:pt idx="2">
                  <c:v>0.43133985368386563</c:v>
                </c:pt>
                <c:pt idx="3">
                  <c:v>0.49800652035053228</c:v>
                </c:pt>
                <c:pt idx="4">
                  <c:v>0.56467318701719893</c:v>
                </c:pt>
                <c:pt idx="5">
                  <c:v>0.63133985368386558</c:v>
                </c:pt>
                <c:pt idx="6">
                  <c:v>0.69800652035053223</c:v>
                </c:pt>
                <c:pt idx="7">
                  <c:v>0.76467318701719889</c:v>
                </c:pt>
                <c:pt idx="8">
                  <c:v>0.83133985368386565</c:v>
                </c:pt>
                <c:pt idx="9">
                  <c:v>0.8980065203505323</c:v>
                </c:pt>
                <c:pt idx="10">
                  <c:v>0.96467318701719895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2D2-4047-B34D-C6C7711FAF12}"/>
            </c:ext>
          </c:extLst>
        </c:ser>
        <c:ser>
          <c:idx val="5"/>
          <c:order val="3"/>
          <c:tx>
            <c:v>BOL</c:v>
          </c:tx>
          <c:spPr>
            <a:ln w="28575">
              <a:solidFill>
                <a:srgbClr val="00B050"/>
              </a:solidFill>
              <a:prstDash val="solid"/>
            </a:ln>
          </c:spPr>
          <c:marker>
            <c:symbol val="none"/>
          </c:marker>
          <c:xVal>
            <c:numRef>
              <c:f>'10-Tray'!$A$29:$A$39</c:f>
              <c:numCache>
                <c:formatCode>General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xVal>
          <c:yVal>
            <c:numRef>
              <c:f>'10-Tray'!$C$29:$C$39</c:f>
              <c:numCache>
                <c:formatCode>0.0000</c:formatCode>
                <c:ptCount val="11"/>
                <c:pt idx="0">
                  <c:v>-2.1078965563254542E-3</c:v>
                </c:pt>
                <c:pt idx="1">
                  <c:v>0.13313862252929309</c:v>
                </c:pt>
                <c:pt idx="2">
                  <c:v>0.26838514161491167</c:v>
                </c:pt>
                <c:pt idx="3">
                  <c:v>0.40363166070053025</c:v>
                </c:pt>
                <c:pt idx="4">
                  <c:v>0.53887817978614871</c:v>
                </c:pt>
                <c:pt idx="5">
                  <c:v>0.67412469887176729</c:v>
                </c:pt>
                <c:pt idx="6">
                  <c:v>0.80937121795738587</c:v>
                </c:pt>
                <c:pt idx="7">
                  <c:v>0.94461773704300434</c:v>
                </c:pt>
                <c:pt idx="8">
                  <c:v>1.0798642561286229</c:v>
                </c:pt>
                <c:pt idx="9">
                  <c:v>1.2151107752142416</c:v>
                </c:pt>
                <c:pt idx="10">
                  <c:v>1.3503572942998601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2D2-4047-B34D-C6C7711FAF12}"/>
            </c:ext>
          </c:extLst>
        </c:ser>
        <c:ser>
          <c:idx val="3"/>
          <c:order val="4"/>
          <c:tx>
            <c:v>Stair Steps</c:v>
          </c:tx>
          <c:spPr>
            <a:ln w="25400">
              <a:solidFill>
                <a:srgbClr val="FFC000"/>
              </a:solidFill>
              <a:prstDash val="solid"/>
            </a:ln>
            <a:effectLst/>
          </c:spPr>
          <c:marker>
            <c:symbol val="square"/>
            <c:size val="9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xVal>
            <c:numRef>
              <c:f>'10-Tray'!$E$29:$E$51</c:f>
              <c:numCache>
                <c:formatCode>0.0000</c:formatCode>
                <c:ptCount val="23"/>
                <c:pt idx="0">
                  <c:v>0.89401956105159686</c:v>
                </c:pt>
                <c:pt idx="1">
                  <c:v>0.74152536042767381</c:v>
                </c:pt>
                <c:pt idx="2">
                  <c:v>0.74152536042767381</c:v>
                </c:pt>
                <c:pt idx="3">
                  <c:v>0.57232395543129488</c:v>
                </c:pt>
                <c:pt idx="4">
                  <c:v>0.57232395543129488</c:v>
                </c:pt>
                <c:pt idx="5">
                  <c:v>0.43524268093396012</c:v>
                </c:pt>
                <c:pt idx="6">
                  <c:v>0.43524268093396012</c:v>
                </c:pt>
                <c:pt idx="7">
                  <c:v>0.34801062555176593</c:v>
                </c:pt>
                <c:pt idx="8">
                  <c:v>0.34801062555176593</c:v>
                </c:pt>
                <c:pt idx="9">
                  <c:v>0.24524484408940717</c:v>
                </c:pt>
                <c:pt idx="10">
                  <c:v>0.24524484408940717</c:v>
                </c:pt>
                <c:pt idx="11">
                  <c:v>0.15563753775954769</c:v>
                </c:pt>
                <c:pt idx="12">
                  <c:v>0.15563753775954769</c:v>
                </c:pt>
                <c:pt idx="13">
                  <c:v>9.0762457311497208E-2</c:v>
                </c:pt>
                <c:pt idx="14">
                  <c:v>9.0762457311497208E-2</c:v>
                </c:pt>
                <c:pt idx="15">
                  <c:v>4.9760864357170663E-2</c:v>
                </c:pt>
                <c:pt idx="16">
                  <c:v>4.9760864357170663E-2</c:v>
                </c:pt>
                <c:pt idx="17">
                  <c:v>2.6017801558342775E-2</c:v>
                </c:pt>
                <c:pt idx="18">
                  <c:v>2.6017801558342775E-2</c:v>
                </c:pt>
                <c:pt idx="19">
                  <c:v>1.2959331809509492E-2</c:v>
                </c:pt>
                <c:pt idx="20">
                  <c:v>1.2959331809509492E-2</c:v>
                </c:pt>
                <c:pt idx="21">
                  <c:v>5.98043895116306E-3</c:v>
                </c:pt>
                <c:pt idx="22">
                  <c:v>5.98043895116306E-3</c:v>
                </c:pt>
              </c:numCache>
            </c:numRef>
          </c:xVal>
          <c:yVal>
            <c:numRef>
              <c:f>'10-Tray'!$F$29:$F$51</c:f>
              <c:numCache>
                <c:formatCode>0.0000</c:formatCode>
                <c:ptCount val="23"/>
                <c:pt idx="0">
                  <c:v>0.89401956105159686</c:v>
                </c:pt>
                <c:pt idx="1">
                  <c:v>0.89401956105159686</c:v>
                </c:pt>
                <c:pt idx="2">
                  <c:v>0.7936674072591543</c:v>
                </c:pt>
                <c:pt idx="3">
                  <c:v>0.7936674072591543</c:v>
                </c:pt>
                <c:pt idx="4">
                  <c:v>0.68460051353266849</c:v>
                </c:pt>
                <c:pt idx="5">
                  <c:v>0.68460051353266849</c:v>
                </c:pt>
                <c:pt idx="6">
                  <c:v>0.59717148526174268</c:v>
                </c:pt>
                <c:pt idx="7">
                  <c:v>0.59717148526174268</c:v>
                </c:pt>
                <c:pt idx="8">
                  <c:v>0.46995275823976362</c:v>
                </c:pt>
                <c:pt idx="9">
                  <c:v>0.46995275823976362</c:v>
                </c:pt>
                <c:pt idx="10">
                  <c:v>0.33095876138412184</c:v>
                </c:pt>
                <c:pt idx="11">
                  <c:v>0.33095876138412184</c:v>
                </c:pt>
                <c:pt idx="12">
                  <c:v>0.20916902790675618</c:v>
                </c:pt>
                <c:pt idx="13">
                  <c:v>0.20916902790675618</c:v>
                </c:pt>
                <c:pt idx="14">
                  <c:v>0.12094626391940601</c:v>
                </c:pt>
                <c:pt idx="15">
                  <c:v>0.12094626391940601</c:v>
                </c:pt>
                <c:pt idx="16">
                  <c:v>6.527499471348519E-2</c:v>
                </c:pt>
                <c:pt idx="17">
                  <c:v>6.527499471348519E-2</c:v>
                </c:pt>
                <c:pt idx="18">
                  <c:v>3.3094677720365444E-2</c:v>
                </c:pt>
                <c:pt idx="19">
                  <c:v>3.3094677720365444E-2</c:v>
                </c:pt>
                <c:pt idx="20">
                  <c:v>1.5419148613764292E-2</c:v>
                </c:pt>
                <c:pt idx="21">
                  <c:v>1.5419148613764292E-2</c:v>
                </c:pt>
                <c:pt idx="22">
                  <c:v>5.9804389484031653E-3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32D2-4047-B34D-C6C7711FAF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5169808"/>
        <c:axId val="285170368"/>
      </c:scatterChart>
      <c:valAx>
        <c:axId val="285169808"/>
        <c:scaling>
          <c:orientation val="minMax"/>
          <c:max val="1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minorGridlines>
          <c:spPr>
            <a:ln w="6350">
              <a:solidFill>
                <a:schemeClr val="tx1"/>
              </a:solidFill>
              <a:prstDash val="dash"/>
            </a:ln>
          </c:spPr>
        </c:minorGridlines>
        <c:title>
          <c:tx>
            <c:rich>
              <a:bodyPr/>
              <a:lstStyle/>
              <a:p>
                <a:pPr>
                  <a:defRPr sz="18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US" sz="1800"/>
                  <a:t>x (mol fraction)</a:t>
                </a:r>
              </a:p>
            </c:rich>
          </c:tx>
          <c:layout>
            <c:manualLayout>
              <c:xMode val="edge"/>
              <c:yMode val="edge"/>
              <c:x val="0.38854935614295577"/>
              <c:y val="0.9348140364836807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285170368"/>
        <c:crosses val="autoZero"/>
        <c:crossBetween val="midCat"/>
        <c:majorUnit val="0.1"/>
        <c:minorUnit val="5.000000000000001E-2"/>
      </c:valAx>
      <c:valAx>
        <c:axId val="285170368"/>
        <c:scaling>
          <c:orientation val="minMax"/>
          <c:max val="1"/>
          <c:min val="0"/>
        </c:scaling>
        <c:delete val="0"/>
        <c:axPos val="l"/>
        <c:majorGridlines>
          <c:spPr>
            <a:ln w="6350">
              <a:solidFill>
                <a:srgbClr val="000000"/>
              </a:solidFill>
              <a:prstDash val="dash"/>
            </a:ln>
          </c:spPr>
        </c:majorGridlines>
        <c:minorGridlines>
          <c:spPr>
            <a:ln w="6350">
              <a:solidFill>
                <a:schemeClr val="tx1"/>
              </a:solidFill>
              <a:prstDash val="dash"/>
            </a:ln>
          </c:spPr>
        </c:minorGridlines>
        <c:title>
          <c:tx>
            <c:rich>
              <a:bodyPr/>
              <a:lstStyle/>
              <a:p>
                <a:pPr>
                  <a:defRPr sz="18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US" sz="1800"/>
                  <a:t>y (mol fraction)</a:t>
                </a:r>
              </a:p>
            </c:rich>
          </c:tx>
          <c:layout>
            <c:manualLayout>
              <c:xMode val="edge"/>
              <c:yMode val="edge"/>
              <c:x val="1.3722455149629737E-2"/>
              <c:y val="0.28767881536424894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285169808"/>
        <c:crosses val="autoZero"/>
        <c:crossBetween val="midCat"/>
        <c:minorUnit val="5.000000000000001E-2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1285814801514671"/>
          <c:y val="0.4541410300873891"/>
          <c:w val="0.29667095839938812"/>
          <c:h val="0.32662821714985463"/>
        </c:manualLayout>
      </c:layout>
      <c:overlay val="0"/>
      <c:spPr>
        <a:solidFill>
          <a:schemeClr val="bg1">
            <a:lumMod val="95000"/>
          </a:schemeClr>
        </a:solidFill>
        <a:ln w="28575">
          <a:solidFill>
            <a:schemeClr val="bg1">
              <a:lumMod val="50000"/>
            </a:schemeClr>
          </a:solidFill>
        </a:ln>
      </c:spPr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54162733270772"/>
          <c:y val="4.443821437233135E-2"/>
          <c:w val="0.82521338197991045"/>
          <c:h val="0.80121492763421598"/>
        </c:manualLayout>
      </c:layout>
      <c:scatterChart>
        <c:scatterStyle val="lineMarker"/>
        <c:varyColors val="0"/>
        <c:ser>
          <c:idx val="0"/>
          <c:order val="0"/>
          <c:tx>
            <c:v>Liquid - Rigorous</c:v>
          </c:tx>
          <c:spPr>
            <a:ln w="28575">
              <a:solidFill>
                <a:srgbClr val="0070C0"/>
              </a:solidFill>
              <a:prstDash val="solid"/>
            </a:ln>
          </c:spPr>
          <c:marker>
            <c:symbol val="square"/>
            <c:size val="12"/>
            <c:spPr>
              <a:solidFill>
                <a:srgbClr val="0070C0"/>
              </a:solidFill>
              <a:ln w="12700">
                <a:solidFill>
                  <a:srgbClr val="0070C0"/>
                </a:solidFill>
                <a:prstDash val="solid"/>
              </a:ln>
            </c:spPr>
          </c:marker>
          <c:xVal>
            <c:strRef>
              <c:f>'10-Tray'!$H$29:$H$40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xVal>
          <c:yVal>
            <c:numRef>
              <c:f>'10-Tray'!$I$29:$I$40</c:f>
              <c:numCache>
                <c:formatCode>0</c:formatCode>
                <c:ptCount val="12"/>
                <c:pt idx="0">
                  <c:v>100</c:v>
                </c:pt>
                <c:pt idx="1">
                  <c:v>96.229588106479611</c:v>
                </c:pt>
                <c:pt idx="2">
                  <c:v>93.260361316850265</c:v>
                </c:pt>
                <c:pt idx="3">
                  <c:v>91.660059191496003</c:v>
                </c:pt>
                <c:pt idx="4">
                  <c:v>190.24282627501881</c:v>
                </c:pt>
                <c:pt idx="5">
                  <c:v>189.57150290910673</c:v>
                </c:pt>
                <c:pt idx="6">
                  <c:v>189.78417040100743</c:v>
                </c:pt>
                <c:pt idx="7">
                  <c:v>190.44288625424662</c:v>
                </c:pt>
                <c:pt idx="8">
                  <c:v>191.09854823718288</c:v>
                </c:pt>
                <c:pt idx="9">
                  <c:v>191.56926128980669</c:v>
                </c:pt>
                <c:pt idx="10">
                  <c:v>191.857980013695</c:v>
                </c:pt>
                <c:pt idx="11">
                  <c:v>49.999999999999972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521-4C05-867C-9EA024B9B4B5}"/>
            </c:ext>
          </c:extLst>
        </c:ser>
        <c:ser>
          <c:idx val="1"/>
          <c:order val="1"/>
          <c:tx>
            <c:v>Vapor - Rigorous</c:v>
          </c:tx>
          <c:spPr>
            <a:ln w="28575">
              <a:solidFill>
                <a:srgbClr val="0070C0"/>
              </a:solidFill>
              <a:prstDash val="solid"/>
            </a:ln>
          </c:spPr>
          <c:marker>
            <c:symbol val="circle"/>
            <c:size val="12"/>
            <c:spPr>
              <a:solidFill>
                <a:srgbClr val="0070C0"/>
              </a:solidFill>
              <a:ln w="12700">
                <a:solidFill>
                  <a:srgbClr val="0070C0"/>
                </a:solidFill>
                <a:prstDash val="solid"/>
              </a:ln>
            </c:spPr>
          </c:marker>
          <c:xVal>
            <c:strRef>
              <c:f>'10-Tray'!$H$29:$H$40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xVal>
          <c:yVal>
            <c:numRef>
              <c:f>'10-Tray'!$J$29:$J$40</c:f>
              <c:numCache>
                <c:formatCode>0</c:formatCode>
                <c:ptCount val="12"/>
                <c:pt idx="1">
                  <c:v>150</c:v>
                </c:pt>
                <c:pt idx="2">
                  <c:v>146.22958810647961</c:v>
                </c:pt>
                <c:pt idx="3">
                  <c:v>143.26036131685026</c:v>
                </c:pt>
                <c:pt idx="4">
                  <c:v>141.660059191496</c:v>
                </c:pt>
                <c:pt idx="5">
                  <c:v>140.24282627501881</c:v>
                </c:pt>
                <c:pt idx="6">
                  <c:v>139.57150290910675</c:v>
                </c:pt>
                <c:pt idx="7">
                  <c:v>139.78417040100743</c:v>
                </c:pt>
                <c:pt idx="8">
                  <c:v>140.44288625424664</c:v>
                </c:pt>
                <c:pt idx="9">
                  <c:v>141.09854823718288</c:v>
                </c:pt>
                <c:pt idx="10">
                  <c:v>141.56926128980672</c:v>
                </c:pt>
                <c:pt idx="11">
                  <c:v>141.85798001369503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521-4C05-867C-9EA024B9B4B5}"/>
            </c:ext>
          </c:extLst>
        </c:ser>
        <c:ser>
          <c:idx val="4"/>
          <c:order val="2"/>
          <c:tx>
            <c:v>Liquid - Lewis</c:v>
          </c:tx>
          <c:spPr>
            <a:ln>
              <a:solidFill>
                <a:srgbClr val="00B050"/>
              </a:solidFill>
              <a:prstDash val="solid"/>
            </a:ln>
          </c:spPr>
          <c:marker>
            <c:symbol val="square"/>
            <c:size val="12"/>
            <c:spPr>
              <a:solidFill>
                <a:srgbClr val="00B050"/>
              </a:solidFill>
              <a:ln w="12700">
                <a:solidFill>
                  <a:srgbClr val="00B050"/>
                </a:solidFill>
              </a:ln>
            </c:spPr>
          </c:marker>
          <c:xVal>
            <c:strRef>
              <c:f>Lewis!$A$7:$A$18</c:f>
              <c:strCache>
                <c:ptCount val="12"/>
                <c:pt idx="0">
                  <c:v>Total Cond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Reboiler</c:v>
                </c:pt>
              </c:strCache>
            </c:strRef>
          </c:xVal>
          <c:yVal>
            <c:numRef>
              <c:f>Lewis!$G$7:$G$18</c:f>
              <c:numCache>
                <c:formatCode>0</c:formatCode>
                <c:ptCount val="1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200</c:v>
                </c:pt>
                <c:pt idx="5">
                  <c:v>200</c:v>
                </c:pt>
                <c:pt idx="6">
                  <c:v>200</c:v>
                </c:pt>
                <c:pt idx="7">
                  <c:v>200</c:v>
                </c:pt>
                <c:pt idx="8">
                  <c:v>200</c:v>
                </c:pt>
                <c:pt idx="9">
                  <c:v>200</c:v>
                </c:pt>
                <c:pt idx="10">
                  <c:v>200</c:v>
                </c:pt>
                <c:pt idx="11">
                  <c:v>50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694-4B06-A81D-133DC2A07190}"/>
            </c:ext>
          </c:extLst>
        </c:ser>
        <c:ser>
          <c:idx val="5"/>
          <c:order val="3"/>
          <c:tx>
            <c:v>Vapor - Lewis</c:v>
          </c:tx>
          <c:spPr>
            <a:ln>
              <a:solidFill>
                <a:srgbClr val="00B050"/>
              </a:solidFill>
              <a:prstDash val="solid"/>
            </a:ln>
          </c:spPr>
          <c:marker>
            <c:symbol val="circle"/>
            <c:size val="12"/>
            <c:spPr>
              <a:solidFill>
                <a:srgbClr val="00B050"/>
              </a:solidFill>
              <a:ln w="12700">
                <a:solidFill>
                  <a:srgbClr val="00B050"/>
                </a:solidFill>
              </a:ln>
            </c:spPr>
          </c:marker>
          <c:xVal>
            <c:strRef>
              <c:f>Lewis!$A$7:$A$18</c:f>
              <c:strCache>
                <c:ptCount val="12"/>
                <c:pt idx="0">
                  <c:v>Total Cond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Reboiler</c:v>
                </c:pt>
              </c:strCache>
            </c:strRef>
          </c:xVal>
          <c:yVal>
            <c:numRef>
              <c:f>Lewis!$I$7:$I$18</c:f>
              <c:numCache>
                <c:formatCode>0</c:formatCode>
                <c:ptCount val="12"/>
                <c:pt idx="1">
                  <c:v>150</c:v>
                </c:pt>
                <c:pt idx="2">
                  <c:v>150</c:v>
                </c:pt>
                <c:pt idx="3">
                  <c:v>150</c:v>
                </c:pt>
                <c:pt idx="4">
                  <c:v>150</c:v>
                </c:pt>
                <c:pt idx="5">
                  <c:v>150</c:v>
                </c:pt>
                <c:pt idx="6">
                  <c:v>150</c:v>
                </c:pt>
                <c:pt idx="7">
                  <c:v>150</c:v>
                </c:pt>
                <c:pt idx="8">
                  <c:v>150</c:v>
                </c:pt>
                <c:pt idx="9">
                  <c:v>150</c:v>
                </c:pt>
                <c:pt idx="10">
                  <c:v>150</c:v>
                </c:pt>
                <c:pt idx="11">
                  <c:v>150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694-4B06-A81D-133DC2A07190}"/>
            </c:ext>
          </c:extLst>
        </c:ser>
        <c:ser>
          <c:idx val="2"/>
          <c:order val="4"/>
          <c:tx>
            <c:v>Liquid - CC</c:v>
          </c:tx>
          <c:spPr>
            <a:ln>
              <a:solidFill>
                <a:srgbClr val="FF0000"/>
              </a:solidFill>
              <a:prstDash val="dash"/>
            </a:ln>
          </c:spPr>
          <c:marker>
            <c:symbol val="circle"/>
            <c:size val="1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ChemCAD!$H$3:$H$14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ChemCAD!$I$3:$I$14</c:f>
              <c:numCache>
                <c:formatCode>0.0</c:formatCode>
                <c:ptCount val="12"/>
                <c:pt idx="0">
                  <c:v>100</c:v>
                </c:pt>
                <c:pt idx="1">
                  <c:v>96.633399999999995</c:v>
                </c:pt>
                <c:pt idx="2">
                  <c:v>93.958299999999994</c:v>
                </c:pt>
                <c:pt idx="3">
                  <c:v>92.438900000000004</c:v>
                </c:pt>
                <c:pt idx="4">
                  <c:v>191.32069999999999</c:v>
                </c:pt>
                <c:pt idx="5">
                  <c:v>190.49350000000001</c:v>
                </c:pt>
                <c:pt idx="6">
                  <c:v>190.4033</c:v>
                </c:pt>
                <c:pt idx="7">
                  <c:v>190.83580000000001</c:v>
                </c:pt>
                <c:pt idx="8">
                  <c:v>191.41970000000001</c:v>
                </c:pt>
                <c:pt idx="9">
                  <c:v>191.91149999999999</c:v>
                </c:pt>
                <c:pt idx="10">
                  <c:v>192.24930000000001</c:v>
                </c:pt>
                <c:pt idx="11">
                  <c:v>50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A73-418A-B033-FFEF2D7B3B9E}"/>
            </c:ext>
          </c:extLst>
        </c:ser>
        <c:ser>
          <c:idx val="3"/>
          <c:order val="5"/>
          <c:tx>
            <c:v>Vapor - CC</c:v>
          </c:tx>
          <c:spPr>
            <a:ln w="28575">
              <a:solidFill>
                <a:srgbClr val="FF0000"/>
              </a:solidFill>
              <a:prstDash val="dash"/>
            </a:ln>
          </c:spPr>
          <c:marker>
            <c:symbol val="circle"/>
            <c:size val="1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ChemCAD!$H$4:$H$14</c:f>
              <c:numCache>
                <c:formatCode>General</c:formatCode>
                <c:ptCount val="11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</c:numCache>
            </c:numRef>
          </c:xVal>
          <c:yVal>
            <c:numRef>
              <c:f>ChemCAD!$K$4:$K$14</c:f>
              <c:numCache>
                <c:formatCode>0.0</c:formatCode>
                <c:ptCount val="11"/>
                <c:pt idx="0">
                  <c:v>150</c:v>
                </c:pt>
                <c:pt idx="1">
                  <c:v>146.63339999999999</c:v>
                </c:pt>
                <c:pt idx="2">
                  <c:v>143.95830000000001</c:v>
                </c:pt>
                <c:pt idx="3">
                  <c:v>142.43889999999999</c:v>
                </c:pt>
                <c:pt idx="4">
                  <c:v>141.32069999999999</c:v>
                </c:pt>
                <c:pt idx="5">
                  <c:v>140.49350000000001</c:v>
                </c:pt>
                <c:pt idx="6">
                  <c:v>140.4033</c:v>
                </c:pt>
                <c:pt idx="7">
                  <c:v>140.83580000000001</c:v>
                </c:pt>
                <c:pt idx="8">
                  <c:v>141.41970000000001</c:v>
                </c:pt>
                <c:pt idx="9">
                  <c:v>141.91149999999999</c:v>
                </c:pt>
                <c:pt idx="10">
                  <c:v>142.24930000000001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A73-418A-B033-FFEF2D7B3B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3700112"/>
        <c:axId val="279058000"/>
      </c:scatterChart>
      <c:valAx>
        <c:axId val="283700112"/>
        <c:scaling>
          <c:orientation val="minMax"/>
          <c:max val="12"/>
          <c:min val="1"/>
        </c:scaling>
        <c:delete val="0"/>
        <c:axPos val="b"/>
        <c:title>
          <c:tx>
            <c:rich>
              <a:bodyPr/>
              <a:lstStyle/>
              <a:p>
                <a:pPr>
                  <a:defRPr sz="18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US" sz="1800"/>
                  <a:t>Stage (TC = 1, PR = 12)</a:t>
                </a:r>
              </a:p>
            </c:rich>
          </c:tx>
          <c:layout>
            <c:manualLayout>
              <c:xMode val="edge"/>
              <c:yMode val="edge"/>
              <c:x val="0.39881388159813358"/>
              <c:y val="0.91601118599945874"/>
            </c:manualLayout>
          </c:layout>
          <c:overlay val="0"/>
          <c:spPr>
            <a:noFill/>
            <a:ln w="25400">
              <a:noFill/>
            </a:ln>
          </c:spPr>
        </c:title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279058000"/>
        <c:crosses val="autoZero"/>
        <c:crossBetween val="midCat"/>
        <c:majorUnit val="1"/>
      </c:valAx>
      <c:valAx>
        <c:axId val="279058000"/>
        <c:scaling>
          <c:orientation val="minMax"/>
        </c:scaling>
        <c:delete val="0"/>
        <c:axPos val="l"/>
        <c:majorGridlines>
          <c:spPr>
            <a:ln w="6350">
              <a:solidFill>
                <a:srgbClr val="000000"/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 sz="18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US" sz="1800"/>
                  <a:t>Flow Rate (mole/h)</a:t>
                </a:r>
              </a:p>
            </c:rich>
          </c:tx>
          <c:layout>
            <c:manualLayout>
              <c:xMode val="edge"/>
              <c:yMode val="edge"/>
              <c:x val="1.9609329140909279E-2"/>
              <c:y val="0.2120592581573417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283700112"/>
        <c:crosses val="autoZero"/>
        <c:crossBetween val="midCat"/>
      </c:valAx>
      <c:spPr>
        <a:noFill/>
        <a:ln w="28575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4038703423417845"/>
          <c:y val="5.2352031647415594E-2"/>
          <c:w val="0.23244502770487022"/>
          <c:h val="0.29905925835700842"/>
        </c:manualLayout>
      </c:layout>
      <c:overlay val="0"/>
      <c:spPr>
        <a:solidFill>
          <a:schemeClr val="bg1">
            <a:lumMod val="95000"/>
          </a:schemeClr>
        </a:solidFill>
        <a:ln w="25400">
          <a:solidFill>
            <a:schemeClr val="bg1">
              <a:lumMod val="50000"/>
            </a:schemeClr>
          </a:solidFill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20951725636138"/>
          <c:y val="4.5720782789489357E-2"/>
          <c:w val="0.8557073049979651"/>
          <c:h val="0.80647282242291951"/>
        </c:manualLayout>
      </c:layout>
      <c:scatterChart>
        <c:scatterStyle val="lineMarker"/>
        <c:varyColors val="0"/>
        <c:ser>
          <c:idx val="0"/>
          <c:order val="0"/>
          <c:tx>
            <c:v>Rigorous</c:v>
          </c:tx>
          <c:spPr>
            <a:ln w="28575">
              <a:solidFill>
                <a:srgbClr val="0070C0"/>
              </a:solidFill>
              <a:prstDash val="solid"/>
            </a:ln>
          </c:spPr>
          <c:marker>
            <c:symbol val="circle"/>
            <c:size val="12"/>
            <c:spPr>
              <a:solidFill>
                <a:srgbClr val="0070C0"/>
              </a:solidFill>
              <a:ln w="12700"/>
            </c:spPr>
          </c:marker>
          <c:xVal>
            <c:strRef>
              <c:f>'10-Tray'!$K$29:$K$40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xVal>
          <c:yVal>
            <c:numRef>
              <c:f>'10-Tray'!$L$29:$L$40</c:f>
              <c:numCache>
                <c:formatCode>0.0</c:formatCode>
                <c:ptCount val="12"/>
                <c:pt idx="0">
                  <c:v>46.669721725926522</c:v>
                </c:pt>
                <c:pt idx="1">
                  <c:v>50.32324978104203</c:v>
                </c:pt>
                <c:pt idx="2">
                  <c:v>54.949714133776631</c:v>
                </c:pt>
                <c:pt idx="3">
                  <c:v>59.246215560481538</c:v>
                </c:pt>
                <c:pt idx="4">
                  <c:v>62.290917519140841</c:v>
                </c:pt>
                <c:pt idx="5">
                  <c:v>66.245878439840155</c:v>
                </c:pt>
                <c:pt idx="6">
                  <c:v>70.073380960289271</c:v>
                </c:pt>
                <c:pt idx="7">
                  <c:v>73.099088516432374</c:v>
                </c:pt>
                <c:pt idx="8">
                  <c:v>75.134723073490051</c:v>
                </c:pt>
                <c:pt idx="9">
                  <c:v>76.360604500100976</c:v>
                </c:pt>
                <c:pt idx="10">
                  <c:v>77.050234321791862</c:v>
                </c:pt>
                <c:pt idx="11">
                  <c:v>77.423395421950318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695-41CD-8AB4-BE16EA5F0C95}"/>
            </c:ext>
          </c:extLst>
        </c:ser>
        <c:ser>
          <c:idx val="1"/>
          <c:order val="1"/>
          <c:tx>
            <c:v>Lewis</c:v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12"/>
            <c:spPr>
              <a:solidFill>
                <a:srgbClr val="00B050"/>
              </a:solidFill>
              <a:ln w="12700">
                <a:solidFill>
                  <a:srgbClr val="00B050"/>
                </a:solidFill>
              </a:ln>
            </c:spPr>
          </c:marker>
          <c:xVal>
            <c:strRef>
              <c:f>Lewis!$A$7:$A$18</c:f>
              <c:strCache>
                <c:ptCount val="12"/>
                <c:pt idx="0">
                  <c:v>Total Cond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Reboiler</c:v>
                </c:pt>
              </c:strCache>
            </c:strRef>
          </c:xVal>
          <c:yVal>
            <c:numRef>
              <c:f>Lewis!$K$7:$K$18</c:f>
              <c:numCache>
                <c:formatCode>0.0</c:formatCode>
                <c:ptCount val="12"/>
                <c:pt idx="0">
                  <c:v>46.645662588398373</c:v>
                </c:pt>
                <c:pt idx="1">
                  <c:v>50.269633476778345</c:v>
                </c:pt>
                <c:pt idx="2">
                  <c:v>54.930551788175357</c:v>
                </c:pt>
                <c:pt idx="3">
                  <c:v>59.401723831952488</c:v>
                </c:pt>
                <c:pt idx="4">
                  <c:v>62.677664852879751</c:v>
                </c:pt>
                <c:pt idx="5">
                  <c:v>66.872296406407884</c:v>
                </c:pt>
                <c:pt idx="6">
                  <c:v>70.742239527116666</c:v>
                </c:pt>
                <c:pt idx="7">
                  <c:v>73.641034314126173</c:v>
                </c:pt>
                <c:pt idx="8">
                  <c:v>75.500034262763549</c:v>
                </c:pt>
                <c:pt idx="9">
                  <c:v>76.578404757997347</c:v>
                </c:pt>
                <c:pt idx="10">
                  <c:v>77.168283421301282</c:v>
                </c:pt>
                <c:pt idx="11">
                  <c:v>77.480693862186328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0B3-4E2B-AD02-DA7EF642205E}"/>
            </c:ext>
          </c:extLst>
        </c:ser>
        <c:ser>
          <c:idx val="2"/>
          <c:order val="2"/>
          <c:tx>
            <c:v>CC</c:v>
          </c:tx>
          <c:spPr>
            <a:ln>
              <a:solidFill>
                <a:srgbClr val="FF0000"/>
              </a:solidFill>
              <a:prstDash val="sysDash"/>
            </a:ln>
          </c:spPr>
          <c:marker>
            <c:symbol val="circle"/>
            <c:size val="12"/>
            <c:spPr>
              <a:noFill/>
              <a:ln w="28575">
                <a:solidFill>
                  <a:srgbClr val="FF0000"/>
                </a:solidFill>
              </a:ln>
            </c:spPr>
          </c:marker>
          <c:xVal>
            <c:numRef>
              <c:f>ChemCAD!$H$3:$H$14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ChemCAD!$M$3:$M$14</c:f>
              <c:numCache>
                <c:formatCode>0.0</c:formatCode>
                <c:ptCount val="12"/>
                <c:pt idx="0">
                  <c:v>46.86</c:v>
                </c:pt>
                <c:pt idx="1">
                  <c:v>50.44</c:v>
                </c:pt>
                <c:pt idx="2">
                  <c:v>54.84</c:v>
                </c:pt>
                <c:pt idx="3">
                  <c:v>58.89</c:v>
                </c:pt>
                <c:pt idx="4">
                  <c:v>61.82</c:v>
                </c:pt>
                <c:pt idx="5">
                  <c:v>65.349999999999994</c:v>
                </c:pt>
                <c:pt idx="6">
                  <c:v>68.97</c:v>
                </c:pt>
                <c:pt idx="7">
                  <c:v>72.069999999999993</c:v>
                </c:pt>
                <c:pt idx="8">
                  <c:v>74.34</c:v>
                </c:pt>
                <c:pt idx="9">
                  <c:v>75.83</c:v>
                </c:pt>
                <c:pt idx="10">
                  <c:v>76.73</c:v>
                </c:pt>
                <c:pt idx="11">
                  <c:v>77.260000000000005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0B3-4E2B-AD02-DA7EF64220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4521648"/>
        <c:axId val="284522208"/>
      </c:scatterChart>
      <c:valAx>
        <c:axId val="284521648"/>
        <c:scaling>
          <c:orientation val="minMax"/>
          <c:max val="12"/>
          <c:min val="1"/>
        </c:scaling>
        <c:delete val="0"/>
        <c:axPos val="b"/>
        <c:title>
          <c:tx>
            <c:rich>
              <a:bodyPr/>
              <a:lstStyle/>
              <a:p>
                <a:pPr>
                  <a:defRPr sz="18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US" sz="1800"/>
                  <a:t>Stage (TC = 1, PR = 12)</a:t>
                </a:r>
              </a:p>
            </c:rich>
          </c:tx>
          <c:layout>
            <c:manualLayout>
              <c:xMode val="edge"/>
              <c:yMode val="edge"/>
              <c:x val="0.3421955088947215"/>
              <c:y val="0.92255181686577237"/>
            </c:manualLayout>
          </c:layout>
          <c:overlay val="0"/>
          <c:spPr>
            <a:noFill/>
            <a:ln w="25400">
              <a:noFill/>
            </a:ln>
          </c:spPr>
        </c:title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284522208"/>
        <c:crosses val="autoZero"/>
        <c:crossBetween val="midCat"/>
        <c:majorUnit val="1"/>
      </c:valAx>
      <c:valAx>
        <c:axId val="284522208"/>
        <c:scaling>
          <c:orientation val="minMax"/>
          <c:min val="40"/>
        </c:scaling>
        <c:delete val="0"/>
        <c:axPos val="l"/>
        <c:majorGridlines>
          <c:spPr>
            <a:ln w="6350">
              <a:solidFill>
                <a:schemeClr val="tx1"/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US" sz="18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rPr>
                  <a:t>T (</a:t>
                </a:r>
                <a:r>
                  <a:rPr lang="en-US" sz="1800" b="1" i="0" u="none" strike="noStrike" baseline="3000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rPr>
                  <a:t>o</a:t>
                </a:r>
                <a:r>
                  <a:rPr lang="en-US" sz="18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rPr>
                  <a:t>C)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7.4113972000438202E-3"/>
              <c:y val="0.3312951147856877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284521648"/>
        <c:crosses val="autoZero"/>
        <c:crossBetween val="midCat"/>
        <c:majorUnit val="2"/>
        <c:minorUnit val="1"/>
      </c:valAx>
      <c:spPr>
        <a:noFill/>
        <a:ln w="28575">
          <a:solidFill>
            <a:schemeClr val="tx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5015258453048941"/>
          <c:y val="0.56660820218618646"/>
          <c:w val="0.15805372214269173"/>
          <c:h val="0.15313189271632535"/>
        </c:manualLayout>
      </c:layout>
      <c:overlay val="0"/>
      <c:spPr>
        <a:solidFill>
          <a:schemeClr val="bg1">
            <a:lumMod val="95000"/>
          </a:schemeClr>
        </a:solidFill>
        <a:ln w="28575">
          <a:solidFill>
            <a:schemeClr val="bg1">
              <a:lumMod val="50000"/>
            </a:schemeClr>
          </a:solidFill>
        </a:ln>
      </c:spPr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49659991431606"/>
          <c:y val="5.0197693538302703E-2"/>
          <c:w val="0.82694736174972239"/>
          <c:h val="0.79273169908370256"/>
        </c:manualLayout>
      </c:layout>
      <c:scatterChart>
        <c:scatterStyle val="lineMarker"/>
        <c:varyColors val="0"/>
        <c:ser>
          <c:idx val="0"/>
          <c:order val="0"/>
          <c:tx>
            <c:v>x - Rigorous</c:v>
          </c:tx>
          <c:spPr>
            <a:ln w="28575">
              <a:solidFill>
                <a:srgbClr val="0070C0"/>
              </a:solidFill>
              <a:prstDash val="solid"/>
            </a:ln>
          </c:spPr>
          <c:marker>
            <c:symbol val="square"/>
            <c:size val="12"/>
            <c:spPr>
              <a:solidFill>
                <a:srgbClr val="0070C0"/>
              </a:solidFill>
              <a:ln w="12700">
                <a:solidFill>
                  <a:srgbClr val="63AAFE"/>
                </a:solidFill>
                <a:prstDash val="solid"/>
              </a:ln>
            </c:spPr>
          </c:marker>
          <c:xVal>
            <c:strRef>
              <c:f>'10-Tray'!$M$29:$M$40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xVal>
          <c:yVal>
            <c:numRef>
              <c:f>'10-Tray'!$H$7:$H$18</c:f>
              <c:numCache>
                <c:formatCode>0.000</c:formatCode>
                <c:ptCount val="12"/>
                <c:pt idx="0">
                  <c:v>0.89401956105159686</c:v>
                </c:pt>
                <c:pt idx="1">
                  <c:v>0.74152536042767381</c:v>
                </c:pt>
                <c:pt idx="2">
                  <c:v>0.57232395543129488</c:v>
                </c:pt>
                <c:pt idx="3">
                  <c:v>0.43524268093396012</c:v>
                </c:pt>
                <c:pt idx="4">
                  <c:v>0.34801062555176593</c:v>
                </c:pt>
                <c:pt idx="5">
                  <c:v>0.24524484408940717</c:v>
                </c:pt>
                <c:pt idx="6">
                  <c:v>0.15563753775954769</c:v>
                </c:pt>
                <c:pt idx="7">
                  <c:v>9.0762457311497208E-2</c:v>
                </c:pt>
                <c:pt idx="8">
                  <c:v>4.9760864357170663E-2</c:v>
                </c:pt>
                <c:pt idx="9">
                  <c:v>2.6017801558342775E-2</c:v>
                </c:pt>
                <c:pt idx="10">
                  <c:v>1.2959331809509492E-2</c:v>
                </c:pt>
                <c:pt idx="11">
                  <c:v>5.98043895116306E-3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E6B-4DEF-BB8F-3DD01E6103F9}"/>
            </c:ext>
          </c:extLst>
        </c:ser>
        <c:ser>
          <c:idx val="1"/>
          <c:order val="1"/>
          <c:tx>
            <c:v>y - Rigorous</c:v>
          </c:tx>
          <c:spPr>
            <a:ln w="28575">
              <a:solidFill>
                <a:srgbClr val="0070C0"/>
              </a:solidFill>
              <a:prstDash val="solid"/>
            </a:ln>
          </c:spPr>
          <c:marker>
            <c:symbol val="circle"/>
            <c:size val="12"/>
            <c:spPr>
              <a:solidFill>
                <a:srgbClr val="0070C0"/>
              </a:solidFill>
              <a:ln w="12700">
                <a:solidFill>
                  <a:srgbClr val="0070C0"/>
                </a:solidFill>
                <a:prstDash val="solid"/>
              </a:ln>
            </c:spPr>
          </c:marker>
          <c:xVal>
            <c:strRef>
              <c:f>'10-Tray'!$M$29:$M$40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xVal>
          <c:yVal>
            <c:numRef>
              <c:f>'10-Tray'!$J$7:$J$18</c:f>
              <c:numCache>
                <c:formatCode>0.000</c:formatCode>
                <c:ptCount val="12"/>
                <c:pt idx="1">
                  <c:v>0.89401956105159686</c:v>
                </c:pt>
                <c:pt idx="2">
                  <c:v>0.7936674072591543</c:v>
                </c:pt>
                <c:pt idx="3">
                  <c:v>0.68460051353266849</c:v>
                </c:pt>
                <c:pt idx="4">
                  <c:v>0.59717148526174268</c:v>
                </c:pt>
                <c:pt idx="5">
                  <c:v>0.46995275823976362</c:v>
                </c:pt>
                <c:pt idx="6">
                  <c:v>0.33095876138412184</c:v>
                </c:pt>
                <c:pt idx="7">
                  <c:v>0.20916902790675618</c:v>
                </c:pt>
                <c:pt idx="8">
                  <c:v>0.12094626391940601</c:v>
                </c:pt>
                <c:pt idx="9">
                  <c:v>6.527499471348519E-2</c:v>
                </c:pt>
                <c:pt idx="10">
                  <c:v>3.3094677720365444E-2</c:v>
                </c:pt>
                <c:pt idx="11">
                  <c:v>1.5419148613764292E-2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E6B-4DEF-BB8F-3DD01E6103F9}"/>
            </c:ext>
          </c:extLst>
        </c:ser>
        <c:ser>
          <c:idx val="2"/>
          <c:order val="2"/>
          <c:tx>
            <c:v>x - Lewis</c:v>
          </c:tx>
          <c:spPr>
            <a:ln>
              <a:solidFill>
                <a:srgbClr val="00B050"/>
              </a:solidFill>
            </a:ln>
          </c:spPr>
          <c:marker>
            <c:symbol val="square"/>
            <c:size val="12"/>
            <c:spPr>
              <a:solidFill>
                <a:srgbClr val="00B050"/>
              </a:solidFill>
              <a:ln w="12700">
                <a:solidFill>
                  <a:srgbClr val="00B050"/>
                </a:solidFill>
              </a:ln>
            </c:spPr>
          </c:marker>
          <c:xVal>
            <c:strRef>
              <c:f>Lewis!$A$7:$A$18</c:f>
              <c:strCache>
                <c:ptCount val="12"/>
                <c:pt idx="0">
                  <c:v>Total Cond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Reboiler</c:v>
                </c:pt>
              </c:strCache>
            </c:strRef>
          </c:xVal>
          <c:yVal>
            <c:numRef>
              <c:f>Lewis!$H$7:$H$18</c:f>
              <c:numCache>
                <c:formatCode>0.000</c:formatCode>
                <c:ptCount val="12"/>
                <c:pt idx="0">
                  <c:v>0.89508581500157791</c:v>
                </c:pt>
                <c:pt idx="1">
                  <c:v>0.74363477427408975</c:v>
                </c:pt>
                <c:pt idx="2">
                  <c:v>0.57297588618434137</c:v>
                </c:pt>
                <c:pt idx="3">
                  <c:v>0.43060012696369043</c:v>
                </c:pt>
                <c:pt idx="4">
                  <c:v>0.33745966370757063</c:v>
                </c:pt>
                <c:pt idx="5">
                  <c:v>0.22995590715445277</c:v>
                </c:pt>
                <c:pt idx="6">
                  <c:v>0.14086892110691435</c:v>
                </c:pt>
                <c:pt idx="7">
                  <c:v>7.9648027144424621E-2</c:v>
                </c:pt>
                <c:pt idx="8">
                  <c:v>4.2613058220877444E-2</c:v>
                </c:pt>
                <c:pt idx="9">
                  <c:v>2.1870816417315933E-2</c:v>
                </c:pt>
                <c:pt idx="10">
                  <c:v>1.0744993311441237E-2</c:v>
                </c:pt>
                <c:pt idx="11">
                  <c:v>4.9141637728952635E-3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326-4EF7-8574-468235C00D7C}"/>
            </c:ext>
          </c:extLst>
        </c:ser>
        <c:ser>
          <c:idx val="3"/>
          <c:order val="3"/>
          <c:tx>
            <c:v>y - Lewis</c:v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12"/>
            <c:spPr>
              <a:solidFill>
                <a:srgbClr val="00B050"/>
              </a:solidFill>
              <a:ln w="12700">
                <a:solidFill>
                  <a:srgbClr val="00B050"/>
                </a:solidFill>
              </a:ln>
            </c:spPr>
          </c:marker>
          <c:xVal>
            <c:strRef>
              <c:f>Lewis!$A$7:$A$18</c:f>
              <c:strCache>
                <c:ptCount val="12"/>
                <c:pt idx="0">
                  <c:v>Total Cond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Reboiler</c:v>
                </c:pt>
              </c:strCache>
            </c:strRef>
          </c:xVal>
          <c:yVal>
            <c:numRef>
              <c:f>Lewis!$J$7:$J$18</c:f>
              <c:numCache>
                <c:formatCode>0.000</c:formatCode>
                <c:ptCount val="12"/>
                <c:pt idx="1">
                  <c:v>0.89508581500157791</c:v>
                </c:pt>
                <c:pt idx="2">
                  <c:v>0.7941184545165858</c:v>
                </c:pt>
                <c:pt idx="3">
                  <c:v>0.68034586245675355</c:v>
                </c:pt>
                <c:pt idx="4">
                  <c:v>0.58542868964298611</c:v>
                </c:pt>
                <c:pt idx="5">
                  <c:v>0.44830815661062001</c:v>
                </c:pt>
                <c:pt idx="6">
                  <c:v>0.30496981453979627</c:v>
                </c:pt>
                <c:pt idx="7">
                  <c:v>0.18618716647641173</c:v>
                </c:pt>
                <c:pt idx="8">
                  <c:v>0.10455930785975878</c:v>
                </c:pt>
                <c:pt idx="9">
                  <c:v>5.5179349295029198E-2</c:v>
                </c:pt>
                <c:pt idx="10">
                  <c:v>2.7523026890280515E-2</c:v>
                </c:pt>
                <c:pt idx="11">
                  <c:v>1.268859608244759E-2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326-4EF7-8574-468235C00D7C}"/>
            </c:ext>
          </c:extLst>
        </c:ser>
        <c:ser>
          <c:idx val="4"/>
          <c:order val="4"/>
          <c:tx>
            <c:v>x - CC</c:v>
          </c:tx>
          <c:spPr>
            <a:ln>
              <a:solidFill>
                <a:srgbClr val="FF0000"/>
              </a:solidFill>
              <a:prstDash val="sysDash"/>
            </a:ln>
          </c:spPr>
          <c:marker>
            <c:symbol val="square"/>
            <c:size val="12"/>
            <c:spPr>
              <a:noFill/>
              <a:ln w="28575">
                <a:solidFill>
                  <a:srgbClr val="FF0000"/>
                </a:solidFill>
              </a:ln>
            </c:spPr>
          </c:marker>
          <c:xVal>
            <c:numRef>
              <c:f>ChemCAD!$H$3:$H$14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ChemCAD!$J$3:$J$14</c:f>
              <c:numCache>
                <c:formatCode>0.000</c:formatCode>
                <c:ptCount val="12"/>
                <c:pt idx="0">
                  <c:v>0.89029030000000009</c:v>
                </c:pt>
                <c:pt idx="1">
                  <c:v>0.74343022184876051</c:v>
                </c:pt>
                <c:pt idx="2">
                  <c:v>0.5839644821160026</c:v>
                </c:pt>
                <c:pt idx="3">
                  <c:v>0.45390295643933448</c:v>
                </c:pt>
                <c:pt idx="4">
                  <c:v>0.3688371932571855</c:v>
                </c:pt>
                <c:pt idx="5">
                  <c:v>0.27455619220603328</c:v>
                </c:pt>
                <c:pt idx="6">
                  <c:v>0.18612723624012817</c:v>
                </c:pt>
                <c:pt idx="7">
                  <c:v>0.11630810361577859</c:v>
                </c:pt>
                <c:pt idx="8">
                  <c:v>6.8137187551751466E-2</c:v>
                </c:pt>
                <c:pt idx="9">
                  <c:v>3.7870633078267851E-2</c:v>
                </c:pt>
                <c:pt idx="10">
                  <c:v>1.9949981612416793E-2</c:v>
                </c:pt>
                <c:pt idx="11">
                  <c:v>9.7094E-3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326-4EF7-8574-468235C00D7C}"/>
            </c:ext>
          </c:extLst>
        </c:ser>
        <c:ser>
          <c:idx val="5"/>
          <c:order val="5"/>
          <c:tx>
            <c:v>y - CC</c:v>
          </c:tx>
          <c:spPr>
            <a:ln>
              <a:solidFill>
                <a:srgbClr val="FF0000"/>
              </a:solidFill>
              <a:prstDash val="sysDash"/>
            </a:ln>
          </c:spPr>
          <c:marker>
            <c:symbol val="circle"/>
            <c:size val="12"/>
            <c:spPr>
              <a:noFill/>
              <a:ln w="28575">
                <a:solidFill>
                  <a:srgbClr val="FF0000"/>
                </a:solidFill>
              </a:ln>
            </c:spPr>
          </c:marker>
          <c:xVal>
            <c:numRef>
              <c:f>ChemCAD!$H$3:$H$14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ChemCAD!$L$3:$L$14</c:f>
              <c:numCache>
                <c:formatCode>0.000</c:formatCode>
                <c:ptCount val="12"/>
                <c:pt idx="1">
                  <c:v>0.89029033333333341</c:v>
                </c:pt>
                <c:pt idx="2">
                  <c:v>0.79350755012159579</c:v>
                </c:pt>
                <c:pt idx="3">
                  <c:v>0.69035831904100009</c:v>
                </c:pt>
                <c:pt idx="4">
                  <c:v>0.60708703872327008</c:v>
                </c:pt>
                <c:pt idx="5">
                  <c:v>0.49589847771770168</c:v>
                </c:pt>
                <c:pt idx="6">
                  <c:v>0.36881208027417633</c:v>
                </c:pt>
                <c:pt idx="7">
                  <c:v>0.2489525531095067</c:v>
                </c:pt>
                <c:pt idx="8">
                  <c:v>0.15415306335463</c:v>
                </c:pt>
                <c:pt idx="9">
                  <c:v>8.8794771874074113E-2</c:v>
                </c:pt>
                <c:pt idx="10">
                  <c:v>4.7792673602914497E-2</c:v>
                </c:pt>
                <c:pt idx="11">
                  <c:v>2.35495007708298E-2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326-4EF7-8574-468235C00D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1517232"/>
        <c:axId val="281517792"/>
      </c:scatterChart>
      <c:valAx>
        <c:axId val="281517232"/>
        <c:scaling>
          <c:orientation val="minMax"/>
          <c:max val="12"/>
          <c:min val="1"/>
        </c:scaling>
        <c:delete val="0"/>
        <c:axPos val="b"/>
        <c:title>
          <c:tx>
            <c:rich>
              <a:bodyPr/>
              <a:lstStyle/>
              <a:p>
                <a:pPr>
                  <a:defRPr sz="18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US" sz="1800"/>
                  <a:t>Stage (TC = 1, PR = 12)</a:t>
                </a:r>
              </a:p>
            </c:rich>
          </c:tx>
          <c:layout>
            <c:manualLayout>
              <c:xMode val="edge"/>
              <c:yMode val="edge"/>
              <c:x val="0.2985426655001458"/>
              <c:y val="0.91742567367295125"/>
            </c:manualLayout>
          </c:layout>
          <c:overlay val="0"/>
          <c:spPr>
            <a:noFill/>
            <a:ln w="25400">
              <a:noFill/>
            </a:ln>
          </c:spPr>
        </c:title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281517792"/>
        <c:crosses val="autoZero"/>
        <c:crossBetween val="midCat"/>
        <c:majorUnit val="1"/>
      </c:valAx>
      <c:valAx>
        <c:axId val="281517792"/>
        <c:scaling>
          <c:orientation val="minMax"/>
          <c:max val="1"/>
        </c:scaling>
        <c:delete val="0"/>
        <c:axPos val="l"/>
        <c:majorGridlines>
          <c:spPr>
            <a:ln w="6350">
              <a:solidFill>
                <a:srgbClr val="000000"/>
              </a:solidFill>
              <a:prstDash val="dash"/>
            </a:ln>
          </c:spPr>
        </c:majorGridlines>
        <c:minorGridlines>
          <c:spPr>
            <a:ln w="6350">
              <a:solidFill>
                <a:schemeClr val="tx1"/>
              </a:solidFill>
              <a:prstDash val="dash"/>
            </a:ln>
          </c:spPr>
        </c:minorGridlines>
        <c:title>
          <c:tx>
            <c:rich>
              <a:bodyPr/>
              <a:lstStyle/>
              <a:p>
                <a:pPr>
                  <a:defRPr sz="18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US" sz="1800"/>
                  <a:t>X,Y (mole fraction)</a:t>
                </a:r>
              </a:p>
            </c:rich>
          </c:tx>
          <c:layout>
            <c:manualLayout>
              <c:xMode val="edge"/>
              <c:yMode val="edge"/>
              <c:x val="1.4059025955088946E-2"/>
              <c:y val="0.261426086060028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281517232"/>
        <c:crosses val="autoZero"/>
        <c:crossBetween val="midCat"/>
        <c:majorUnit val="0.1"/>
        <c:minorUnit val="5.000000000000001E-2"/>
      </c:valAx>
      <c:spPr>
        <a:noFill/>
        <a:ln w="28575">
          <a:solidFill>
            <a:schemeClr val="tx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6518766140748484"/>
          <c:y val="0.47222857590362483"/>
          <c:w val="0.25440304133649444"/>
          <c:h val="0.30475370504518384"/>
        </c:manualLayout>
      </c:layout>
      <c:overlay val="0"/>
      <c:spPr>
        <a:solidFill>
          <a:schemeClr val="bg1">
            <a:lumMod val="95000"/>
          </a:schemeClr>
        </a:solidFill>
        <a:ln w="28575">
          <a:solidFill>
            <a:schemeClr val="bg1">
              <a:lumMod val="50000"/>
            </a:schemeClr>
          </a:solidFill>
        </a:ln>
      </c:spPr>
      <c:txPr>
        <a:bodyPr/>
        <a:lstStyle/>
        <a:p>
          <a:pPr>
            <a:defRPr sz="16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520522468700826"/>
          <c:y val="5.7319949724792499E-2"/>
          <c:w val="0.84648726129159257"/>
          <c:h val="0.79760453019232858"/>
        </c:manualLayout>
      </c:layout>
      <c:scatterChart>
        <c:scatterStyle val="smoothMarker"/>
        <c:varyColors val="0"/>
        <c:ser>
          <c:idx val="0"/>
          <c:order val="0"/>
          <c:tx>
            <c:v>Equilibrium Curve</c:v>
          </c:tx>
          <c:spPr>
            <a:ln w="28575">
              <a:solidFill>
                <a:schemeClr val="tx1"/>
              </a:solidFill>
              <a:prstDash val="solid"/>
            </a:ln>
          </c:spPr>
          <c:marker>
            <c:symbol val="none"/>
          </c:marker>
          <c:xVal>
            <c:numRef>
              <c:f>VLE!$A$5:$A$105</c:f>
              <c:numCache>
                <c:formatCode>0.00</c:formatCod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</c:numCache>
            </c:numRef>
          </c:xVal>
          <c:yVal>
            <c:numRef>
              <c:f>VLE!$B$5:$B$105</c:f>
              <c:numCache>
                <c:formatCode>0.000</c:formatCode>
                <c:ptCount val="101"/>
                <c:pt idx="0">
                  <c:v>0</c:v>
                </c:pt>
                <c:pt idx="1">
                  <c:v>2.5640878576755326E-2</c:v>
                </c:pt>
                <c:pt idx="2">
                  <c:v>5.0587497787524756E-2</c:v>
                </c:pt>
                <c:pt idx="3">
                  <c:v>7.4863026718142836E-2</c:v>
                </c:pt>
                <c:pt idx="4">
                  <c:v>9.848974881967977E-2</c:v>
                </c:pt>
                <c:pt idx="5">
                  <c:v>0.12148909845244009</c:v>
                </c:pt>
                <c:pt idx="6">
                  <c:v>0.14388169590102942</c:v>
                </c:pt>
                <c:pt idx="7">
                  <c:v>0.16568738091898497</c:v>
                </c:pt>
                <c:pt idx="8">
                  <c:v>0.18692524486001427</c:v>
                </c:pt>
                <c:pt idx="9">
                  <c:v>0.20761366145139576</c:v>
                </c:pt>
                <c:pt idx="10">
                  <c:v>0.22777031626352706</c:v>
                </c:pt>
                <c:pt idx="11">
                  <c:v>0.24741223492803188</c:v>
                </c:pt>
                <c:pt idx="12">
                  <c:v>0.26655581015523289</c:v>
                </c:pt>
                <c:pt idx="13">
                  <c:v>0.28521682760016842</c:v>
                </c:pt>
                <c:pt idx="14">
                  <c:v>0.3034104906247202</c:v>
                </c:pt>
                <c:pt idx="15">
                  <c:v>0.32115144400180273</c:v>
                </c:pt>
                <c:pt idx="16">
                  <c:v>0.33845379660594649</c:v>
                </c:pt>
                <c:pt idx="17">
                  <c:v>0.35533114313304032</c:v>
                </c:pt>
                <c:pt idx="18">
                  <c:v>0.37179658489041351</c:v>
                </c:pt>
                <c:pt idx="19">
                  <c:v>0.38786274969691076</c:v>
                </c:pt>
                <c:pt idx="20">
                  <c:v>0.40354181093109981</c:v>
                </c:pt>
                <c:pt idx="21">
                  <c:v>0.41884550576427426</c:v>
                </c:pt>
                <c:pt idx="22">
                  <c:v>0.43378515261347472</c:v>
                </c:pt>
                <c:pt idx="23">
                  <c:v>0.44837166784834204</c:v>
                </c:pt>
                <c:pt idx="24">
                  <c:v>0.46261558178426448</c:v>
                </c:pt>
                <c:pt idx="25">
                  <c:v>0.47652705399293588</c:v>
                </c:pt>
                <c:pt idx="26">
                  <c:v>0.49011588796017097</c:v>
                </c:pt>
                <c:pt idx="27">
                  <c:v>0.5033915451195784</c:v>
                </c:pt>
                <c:pt idx="28">
                  <c:v>0.51636315828947355</c:v>
                </c:pt>
                <c:pt idx="29">
                  <c:v>0.52903954453928137</c:v>
                </c:pt>
                <c:pt idx="30">
                  <c:v>0.54142921751051998</c:v>
                </c:pt>
                <c:pt idx="31">
                  <c:v>0.55354039921641296</c:v>
                </c:pt>
                <c:pt idx="32">
                  <c:v>0.5653810313431028</c:v>
                </c:pt>
                <c:pt idx="33">
                  <c:v>0.57695878607447726</c:v>
                </c:pt>
                <c:pt idx="34">
                  <c:v>0.58828107646160444</c:v>
                </c:pt>
                <c:pt idx="35">
                  <c:v>0.5993550663569035</c:v>
                </c:pt>
                <c:pt idx="36">
                  <c:v>0.61018767993225032</c:v>
                </c:pt>
                <c:pt idx="37">
                  <c:v>0.62078561079938677</c:v>
                </c:pt>
                <c:pt idx="38">
                  <c:v>0.63115533075016905</c:v>
                </c:pt>
                <c:pt idx="39">
                  <c:v>0.64130309813342556</c:v>
                </c:pt>
                <c:pt idx="40">
                  <c:v>0.65123496588443397</c:v>
                </c:pt>
                <c:pt idx="41">
                  <c:v>0.66095678922229961</c:v>
                </c:pt>
                <c:pt idx="42">
                  <c:v>0.67047423302986275</c:v>
                </c:pt>
                <c:pt idx="43">
                  <c:v>0.6797927789300483</c:v>
                </c:pt>
                <c:pt idx="44">
                  <c:v>0.68891773207202323</c:v>
                </c:pt>
                <c:pt idx="45">
                  <c:v>0.69785422763982941</c:v>
                </c:pt>
                <c:pt idx="46">
                  <c:v>0.7066072370956642</c:v>
                </c:pt>
                <c:pt idx="47">
                  <c:v>0.71518157416940287</c:v>
                </c:pt>
                <c:pt idx="48">
                  <c:v>0.72358190060539906</c:v>
                </c:pt>
                <c:pt idx="49">
                  <c:v>0.73181273167717253</c:v>
                </c:pt>
                <c:pt idx="50">
                  <c:v>0.73987844148003423</c:v>
                </c:pt>
                <c:pt idx="51">
                  <c:v>0.7477832680113029</c:v>
                </c:pt>
                <c:pt idx="52">
                  <c:v>0.75553131804728491</c:v>
                </c:pt>
                <c:pt idx="53">
                  <c:v>0.76312657182582899</c:v>
                </c:pt>
                <c:pt idx="54">
                  <c:v>0.77057288754278164</c:v>
                </c:pt>
                <c:pt idx="55">
                  <c:v>0.7778740056704011</c:v>
                </c:pt>
                <c:pt idx="56">
                  <c:v>0.78503355310533096</c:v>
                </c:pt>
                <c:pt idx="57">
                  <c:v>0.79205504715343233</c:v>
                </c:pt>
                <c:pt idx="58">
                  <c:v>0.79894189935845106</c:v>
                </c:pt>
                <c:pt idx="59">
                  <c:v>0.80569741918115545</c:v>
                </c:pt>
                <c:pt idx="60">
                  <c:v>0.81232481753530272</c:v>
                </c:pt>
                <c:pt idx="61">
                  <c:v>0.81882721018649485</c:v>
                </c:pt>
                <c:pt idx="62">
                  <c:v>0.82520762101971412</c:v>
                </c:pt>
                <c:pt idx="63">
                  <c:v>0.83146898518108037</c:v>
                </c:pt>
                <c:pt idx="64">
                  <c:v>0.83761415209908785</c:v>
                </c:pt>
                <c:pt idx="65">
                  <c:v>0.8436458883904181</c:v>
                </c:pt>
                <c:pt idx="66">
                  <c:v>0.84956688065508079</c:v>
                </c:pt>
                <c:pt idx="67">
                  <c:v>0.85537973816556978</c:v>
                </c:pt>
                <c:pt idx="68">
                  <c:v>0.86108699545435796</c:v>
                </c:pt>
                <c:pt idx="69">
                  <c:v>0.86669111480401073</c:v>
                </c:pt>
                <c:pt idx="70">
                  <c:v>0.87219448864388305</c:v>
                </c:pt>
                <c:pt idx="71">
                  <c:v>0.87759944185726313</c:v>
                </c:pt>
                <c:pt idx="72">
                  <c:v>0.88290823400264962</c:v>
                </c:pt>
                <c:pt idx="73">
                  <c:v>0.8881230614526533</c:v>
                </c:pt>
                <c:pt idx="74">
                  <c:v>0.89324605945388347</c:v>
                </c:pt>
                <c:pt idx="75">
                  <c:v>0.89827930411104484</c:v>
                </c:pt>
                <c:pt idx="76">
                  <c:v>0.90322481429829327</c:v>
                </c:pt>
                <c:pt idx="77">
                  <c:v>0.90808455350080008</c:v>
                </c:pt>
                <c:pt idx="78">
                  <c:v>0.91286043158933439</c:v>
                </c:pt>
                <c:pt idx="79">
                  <c:v>0.91755430653053549</c:v>
                </c:pt>
                <c:pt idx="80">
                  <c:v>0.92216798603546601</c:v>
                </c:pt>
                <c:pt idx="81">
                  <c:v>0.9267032291488837</c:v>
                </c:pt>
                <c:pt idx="82">
                  <c:v>0.93116174778160077</c:v>
                </c:pt>
                <c:pt idx="83">
                  <c:v>0.93554520818818621</c:v>
                </c:pt>
                <c:pt idx="84">
                  <c:v>0.93985523239212931</c:v>
                </c:pt>
                <c:pt idx="85">
                  <c:v>0.94409339956059501</c:v>
                </c:pt>
                <c:pt idx="86">
                  <c:v>0.94826124733067729</c:v>
                </c:pt>
                <c:pt idx="87">
                  <c:v>0.95236027308909577</c:v>
                </c:pt>
                <c:pt idx="88">
                  <c:v>0.95639193520711818</c:v>
                </c:pt>
                <c:pt idx="89">
                  <c:v>0.96035765423243846</c:v>
                </c:pt>
                <c:pt idx="90">
                  <c:v>0.96425881403971225</c:v>
                </c:pt>
                <c:pt idx="91">
                  <c:v>0.96809676294128955</c:v>
                </c:pt>
                <c:pt idx="92">
                  <c:v>0.97187281475971343</c:v>
                </c:pt>
                <c:pt idx="93">
                  <c:v>0.97558824986343273</c:v>
                </c:pt>
                <c:pt idx="94">
                  <c:v>0.97924431616709451</c:v>
                </c:pt>
                <c:pt idx="95">
                  <c:v>0.98284223009786031</c:v>
                </c:pt>
                <c:pt idx="96">
                  <c:v>0.98638317752887505</c:v>
                </c:pt>
                <c:pt idx="97">
                  <c:v>0.98986831468128966</c:v>
                </c:pt>
                <c:pt idx="98">
                  <c:v>0.99329876899592406</c:v>
                </c:pt>
                <c:pt idx="99">
                  <c:v>0.99667563997570185</c:v>
                </c:pt>
                <c:pt idx="100">
                  <c:v>0.99999999999999978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2D2-4047-B34D-C6C7711FAF12}"/>
            </c:ext>
          </c:extLst>
        </c:ser>
        <c:ser>
          <c:idx val="1"/>
          <c:order val="1"/>
          <c:tx>
            <c:v>45 Degree Line</c:v>
          </c:tx>
          <c:spPr>
            <a:ln w="28575">
              <a:solidFill>
                <a:srgbClr val="000000"/>
              </a:solidFill>
              <a:prstDash val="dash"/>
            </a:ln>
          </c:spPr>
          <c:marker>
            <c:symbol val="none"/>
          </c:marker>
          <c:xVal>
            <c:numRef>
              <c:f>'10-Tray'!$B$46:$B$47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'10-Tray'!$C$46:$C$47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2D2-4047-B34D-C6C7711FAF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8389216"/>
        <c:axId val="288389776"/>
      </c:scatterChart>
      <c:valAx>
        <c:axId val="288389216"/>
        <c:scaling>
          <c:orientation val="minMax"/>
          <c:max val="1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minorGridlines>
          <c:spPr>
            <a:ln w="6350">
              <a:solidFill>
                <a:schemeClr val="tx1"/>
              </a:solidFill>
              <a:prstDash val="dash"/>
            </a:ln>
          </c:spPr>
        </c:minorGridlines>
        <c:title>
          <c:tx>
            <c:rich>
              <a:bodyPr/>
              <a:lstStyle/>
              <a:p>
                <a:pPr>
                  <a:defRPr sz="18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US" sz="1800"/>
                  <a:t>x (mol fraction)</a:t>
                </a:r>
              </a:p>
            </c:rich>
          </c:tx>
          <c:layout>
            <c:manualLayout>
              <c:xMode val="edge"/>
              <c:yMode val="edge"/>
              <c:x val="0.38854935614295577"/>
              <c:y val="0.9348140364836807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288389776"/>
        <c:crosses val="autoZero"/>
        <c:crossBetween val="midCat"/>
        <c:majorUnit val="0.1"/>
        <c:minorUnit val="5.000000000000001E-2"/>
      </c:valAx>
      <c:valAx>
        <c:axId val="288389776"/>
        <c:scaling>
          <c:orientation val="minMax"/>
          <c:max val="1"/>
          <c:min val="0"/>
        </c:scaling>
        <c:delete val="0"/>
        <c:axPos val="l"/>
        <c:majorGridlines>
          <c:spPr>
            <a:ln w="6350">
              <a:solidFill>
                <a:srgbClr val="000000"/>
              </a:solidFill>
              <a:prstDash val="dash"/>
            </a:ln>
          </c:spPr>
        </c:majorGridlines>
        <c:minorGridlines>
          <c:spPr>
            <a:ln w="6350">
              <a:solidFill>
                <a:schemeClr val="tx1"/>
              </a:solidFill>
              <a:prstDash val="dash"/>
            </a:ln>
          </c:spPr>
        </c:minorGridlines>
        <c:title>
          <c:tx>
            <c:rich>
              <a:bodyPr/>
              <a:lstStyle/>
              <a:p>
                <a:pPr>
                  <a:defRPr sz="18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US" sz="1800"/>
                  <a:t>y (mol fraction)</a:t>
                </a:r>
              </a:p>
            </c:rich>
          </c:tx>
          <c:layout>
            <c:manualLayout>
              <c:xMode val="edge"/>
              <c:yMode val="edge"/>
              <c:x val="1.3722455149629737E-2"/>
              <c:y val="0.28767881536424894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288389216"/>
        <c:crosses val="autoZero"/>
        <c:crossBetween val="midCat"/>
        <c:minorUnit val="5.000000000000001E-2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1285814801514671"/>
          <c:y val="0.4541410300873891"/>
          <c:w val="0.29667095839938812"/>
          <c:h val="0.20264779300629832"/>
        </c:manualLayout>
      </c:layout>
      <c:overlay val="0"/>
      <c:spPr>
        <a:solidFill>
          <a:schemeClr val="bg1">
            <a:lumMod val="95000"/>
          </a:schemeClr>
        </a:solidFill>
        <a:ln w="28575">
          <a:solidFill>
            <a:schemeClr val="bg1">
              <a:lumMod val="50000"/>
            </a:schemeClr>
          </a:solidFill>
        </a:ln>
      </c:spPr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69002105881641"/>
          <c:y val="4.6358141822925608E-2"/>
          <c:w val="0.83897418688217562"/>
          <c:h val="0.81063005323327419"/>
        </c:manualLayout>
      </c:layout>
      <c:scatterChart>
        <c:scatterStyle val="smoothMarker"/>
        <c:varyColors val="0"/>
        <c:ser>
          <c:idx val="0"/>
          <c:order val="0"/>
          <c:tx>
            <c:v>Dew Point Curve</c:v>
          </c:tx>
          <c:spPr>
            <a:ln w="28575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VLE!$B$5:$B$105</c:f>
              <c:numCache>
                <c:formatCode>0.000</c:formatCode>
                <c:ptCount val="101"/>
                <c:pt idx="0">
                  <c:v>0</c:v>
                </c:pt>
                <c:pt idx="1">
                  <c:v>2.5640878576755326E-2</c:v>
                </c:pt>
                <c:pt idx="2">
                  <c:v>5.0587497787524756E-2</c:v>
                </c:pt>
                <c:pt idx="3">
                  <c:v>7.4863026718142836E-2</c:v>
                </c:pt>
                <c:pt idx="4">
                  <c:v>9.848974881967977E-2</c:v>
                </c:pt>
                <c:pt idx="5">
                  <c:v>0.12148909845244009</c:v>
                </c:pt>
                <c:pt idx="6">
                  <c:v>0.14388169590102942</c:v>
                </c:pt>
                <c:pt idx="7">
                  <c:v>0.16568738091898497</c:v>
                </c:pt>
                <c:pt idx="8">
                  <c:v>0.18692524486001427</c:v>
                </c:pt>
                <c:pt idx="9">
                  <c:v>0.20761366145139576</c:v>
                </c:pt>
                <c:pt idx="10">
                  <c:v>0.22777031626352706</c:v>
                </c:pt>
                <c:pt idx="11">
                  <c:v>0.24741223492803188</c:v>
                </c:pt>
                <c:pt idx="12">
                  <c:v>0.26655581015523289</c:v>
                </c:pt>
                <c:pt idx="13">
                  <c:v>0.28521682760016842</c:v>
                </c:pt>
                <c:pt idx="14">
                  <c:v>0.3034104906247202</c:v>
                </c:pt>
                <c:pt idx="15">
                  <c:v>0.32115144400180273</c:v>
                </c:pt>
                <c:pt idx="16">
                  <c:v>0.33845379660594649</c:v>
                </c:pt>
                <c:pt idx="17">
                  <c:v>0.35533114313304032</c:v>
                </c:pt>
                <c:pt idx="18">
                  <c:v>0.37179658489041351</c:v>
                </c:pt>
                <c:pt idx="19">
                  <c:v>0.38786274969691076</c:v>
                </c:pt>
                <c:pt idx="20">
                  <c:v>0.40354181093109981</c:v>
                </c:pt>
                <c:pt idx="21">
                  <c:v>0.41884550576427426</c:v>
                </c:pt>
                <c:pt idx="22">
                  <c:v>0.43378515261347472</c:v>
                </c:pt>
                <c:pt idx="23">
                  <c:v>0.44837166784834204</c:v>
                </c:pt>
                <c:pt idx="24">
                  <c:v>0.46261558178426448</c:v>
                </c:pt>
                <c:pt idx="25">
                  <c:v>0.47652705399293588</c:v>
                </c:pt>
                <c:pt idx="26">
                  <c:v>0.49011588796017097</c:v>
                </c:pt>
                <c:pt idx="27">
                  <c:v>0.5033915451195784</c:v>
                </c:pt>
                <c:pt idx="28">
                  <c:v>0.51636315828947355</c:v>
                </c:pt>
                <c:pt idx="29">
                  <c:v>0.52903954453928137</c:v>
                </c:pt>
                <c:pt idx="30">
                  <c:v>0.54142921751051998</c:v>
                </c:pt>
                <c:pt idx="31">
                  <c:v>0.55354039921641296</c:v>
                </c:pt>
                <c:pt idx="32">
                  <c:v>0.5653810313431028</c:v>
                </c:pt>
                <c:pt idx="33">
                  <c:v>0.57695878607447726</c:v>
                </c:pt>
                <c:pt idx="34">
                  <c:v>0.58828107646160444</c:v>
                </c:pt>
                <c:pt idx="35">
                  <c:v>0.5993550663569035</c:v>
                </c:pt>
                <c:pt idx="36">
                  <c:v>0.61018767993225032</c:v>
                </c:pt>
                <c:pt idx="37">
                  <c:v>0.62078561079938677</c:v>
                </c:pt>
                <c:pt idx="38">
                  <c:v>0.63115533075016905</c:v>
                </c:pt>
                <c:pt idx="39">
                  <c:v>0.64130309813342556</c:v>
                </c:pt>
                <c:pt idx="40">
                  <c:v>0.65123496588443397</c:v>
                </c:pt>
                <c:pt idx="41">
                  <c:v>0.66095678922229961</c:v>
                </c:pt>
                <c:pt idx="42">
                  <c:v>0.67047423302986275</c:v>
                </c:pt>
                <c:pt idx="43">
                  <c:v>0.6797927789300483</c:v>
                </c:pt>
                <c:pt idx="44">
                  <c:v>0.68891773207202323</c:v>
                </c:pt>
                <c:pt idx="45">
                  <c:v>0.69785422763982941</c:v>
                </c:pt>
                <c:pt idx="46">
                  <c:v>0.7066072370956642</c:v>
                </c:pt>
                <c:pt idx="47">
                  <c:v>0.71518157416940287</c:v>
                </c:pt>
                <c:pt idx="48">
                  <c:v>0.72358190060539906</c:v>
                </c:pt>
                <c:pt idx="49">
                  <c:v>0.73181273167717253</c:v>
                </c:pt>
                <c:pt idx="50">
                  <c:v>0.73987844148003423</c:v>
                </c:pt>
                <c:pt idx="51">
                  <c:v>0.7477832680113029</c:v>
                </c:pt>
                <c:pt idx="52">
                  <c:v>0.75553131804728491</c:v>
                </c:pt>
                <c:pt idx="53">
                  <c:v>0.76312657182582899</c:v>
                </c:pt>
                <c:pt idx="54">
                  <c:v>0.77057288754278164</c:v>
                </c:pt>
                <c:pt idx="55">
                  <c:v>0.7778740056704011</c:v>
                </c:pt>
                <c:pt idx="56">
                  <c:v>0.78503355310533096</c:v>
                </c:pt>
                <c:pt idx="57">
                  <c:v>0.79205504715343233</c:v>
                </c:pt>
                <c:pt idx="58">
                  <c:v>0.79894189935845106</c:v>
                </c:pt>
                <c:pt idx="59">
                  <c:v>0.80569741918115545</c:v>
                </c:pt>
                <c:pt idx="60">
                  <c:v>0.81232481753530272</c:v>
                </c:pt>
                <c:pt idx="61">
                  <c:v>0.81882721018649485</c:v>
                </c:pt>
                <c:pt idx="62">
                  <c:v>0.82520762101971412</c:v>
                </c:pt>
                <c:pt idx="63">
                  <c:v>0.83146898518108037</c:v>
                </c:pt>
                <c:pt idx="64">
                  <c:v>0.83761415209908785</c:v>
                </c:pt>
                <c:pt idx="65">
                  <c:v>0.8436458883904181</c:v>
                </c:pt>
                <c:pt idx="66">
                  <c:v>0.84956688065508079</c:v>
                </c:pt>
                <c:pt idx="67">
                  <c:v>0.85537973816556978</c:v>
                </c:pt>
                <c:pt idx="68">
                  <c:v>0.86108699545435796</c:v>
                </c:pt>
                <c:pt idx="69">
                  <c:v>0.86669111480401073</c:v>
                </c:pt>
                <c:pt idx="70">
                  <c:v>0.87219448864388305</c:v>
                </c:pt>
                <c:pt idx="71">
                  <c:v>0.87759944185726313</c:v>
                </c:pt>
                <c:pt idx="72">
                  <c:v>0.88290823400264962</c:v>
                </c:pt>
                <c:pt idx="73">
                  <c:v>0.8881230614526533</c:v>
                </c:pt>
                <c:pt idx="74">
                  <c:v>0.89324605945388347</c:v>
                </c:pt>
                <c:pt idx="75">
                  <c:v>0.89827930411104484</c:v>
                </c:pt>
                <c:pt idx="76">
                  <c:v>0.90322481429829327</c:v>
                </c:pt>
                <c:pt idx="77">
                  <c:v>0.90808455350080008</c:v>
                </c:pt>
                <c:pt idx="78">
                  <c:v>0.91286043158933439</c:v>
                </c:pt>
                <c:pt idx="79">
                  <c:v>0.91755430653053549</c:v>
                </c:pt>
                <c:pt idx="80">
                  <c:v>0.92216798603546601</c:v>
                </c:pt>
                <c:pt idx="81">
                  <c:v>0.9267032291488837</c:v>
                </c:pt>
                <c:pt idx="82">
                  <c:v>0.93116174778160077</c:v>
                </c:pt>
                <c:pt idx="83">
                  <c:v>0.93554520818818621</c:v>
                </c:pt>
                <c:pt idx="84">
                  <c:v>0.93985523239212931</c:v>
                </c:pt>
                <c:pt idx="85">
                  <c:v>0.94409339956059501</c:v>
                </c:pt>
                <c:pt idx="86">
                  <c:v>0.94826124733067729</c:v>
                </c:pt>
                <c:pt idx="87">
                  <c:v>0.95236027308909577</c:v>
                </c:pt>
                <c:pt idx="88">
                  <c:v>0.95639193520711818</c:v>
                </c:pt>
                <c:pt idx="89">
                  <c:v>0.96035765423243846</c:v>
                </c:pt>
                <c:pt idx="90">
                  <c:v>0.96425881403971225</c:v>
                </c:pt>
                <c:pt idx="91">
                  <c:v>0.96809676294128955</c:v>
                </c:pt>
                <c:pt idx="92">
                  <c:v>0.97187281475971343</c:v>
                </c:pt>
                <c:pt idx="93">
                  <c:v>0.97558824986343273</c:v>
                </c:pt>
                <c:pt idx="94">
                  <c:v>0.97924431616709451</c:v>
                </c:pt>
                <c:pt idx="95">
                  <c:v>0.98284223009786031</c:v>
                </c:pt>
                <c:pt idx="96">
                  <c:v>0.98638317752887505</c:v>
                </c:pt>
                <c:pt idx="97">
                  <c:v>0.98986831468128966</c:v>
                </c:pt>
                <c:pt idx="98">
                  <c:v>0.99329876899592406</c:v>
                </c:pt>
                <c:pt idx="99">
                  <c:v>0.99667563997570185</c:v>
                </c:pt>
                <c:pt idx="100">
                  <c:v>0.99999999999999978</c:v>
                </c:pt>
              </c:numCache>
            </c:numRef>
          </c:xVal>
          <c:yVal>
            <c:numRef>
              <c:f>VLE!$C$5:$C$105</c:f>
              <c:numCache>
                <c:formatCode>0.0</c:formatCode>
                <c:ptCount val="101"/>
                <c:pt idx="0">
                  <c:v>77.745757524777105</c:v>
                </c:pt>
                <c:pt idx="1">
                  <c:v>77.20807474013472</c:v>
                </c:pt>
                <c:pt idx="2">
                  <c:v>76.677028050867719</c:v>
                </c:pt>
                <c:pt idx="3">
                  <c:v>76.152501576519285</c:v>
                </c:pt>
                <c:pt idx="4">
                  <c:v>75.634381513678704</c:v>
                </c:pt>
                <c:pt idx="5">
                  <c:v>75.122556120109707</c:v>
                </c:pt>
                <c:pt idx="6">
                  <c:v>74.616915697081637</c:v>
                </c:pt>
                <c:pt idx="7">
                  <c:v>74.11735256998864</c:v>
                </c:pt>
                <c:pt idx="8">
                  <c:v>73.623761067432142</c:v>
                </c:pt>
                <c:pt idx="9">
                  <c:v>73.136037498932595</c:v>
                </c:pt>
                <c:pt idx="10">
                  <c:v>72.654080131423385</c:v>
                </c:pt>
                <c:pt idx="11">
                  <c:v>72.177789164670187</c:v>
                </c:pt>
                <c:pt idx="12">
                  <c:v>71.707066705750492</c:v>
                </c:pt>
                <c:pt idx="13">
                  <c:v>71.241816742716566</c:v>
                </c:pt>
                <c:pt idx="14">
                  <c:v>70.781945117557584</c:v>
                </c:pt>
                <c:pt idx="15">
                  <c:v>70.327359498568413</c:v>
                </c:pt>
                <c:pt idx="16">
                  <c:v>69.877969352223275</c:v>
                </c:pt>
                <c:pt idx="17">
                  <c:v>69.433685914646617</c:v>
                </c:pt>
                <c:pt idx="18">
                  <c:v>68.994422162765133</c:v>
                </c:pt>
                <c:pt idx="19">
                  <c:v>68.560092785218941</c:v>
                </c:pt>
                <c:pt idx="20">
                  <c:v>68.130614153103352</c:v>
                </c:pt>
                <c:pt idx="21">
                  <c:v>67.705904290607052</c:v>
                </c:pt>
                <c:pt idx="22">
                  <c:v>67.285882845606494</c:v>
                </c:pt>
                <c:pt idx="23">
                  <c:v>66.870471060271626</c:v>
                </c:pt>
                <c:pt idx="24">
                  <c:v>66.45959174173268</c:v>
                </c:pt>
                <c:pt idx="25">
                  <c:v>66.053169232854344</c:v>
                </c:pt>
                <c:pt idx="26">
                  <c:v>65.651129383157595</c:v>
                </c:pt>
                <c:pt idx="27">
                  <c:v>65.253399519927356</c:v>
                </c:pt>
                <c:pt idx="28">
                  <c:v>64.859908419539309</c:v>
                </c:pt>
                <c:pt idx="29">
                  <c:v>64.470586279036056</c:v>
                </c:pt>
                <c:pt idx="30">
                  <c:v>64.085364687980118</c:v>
                </c:pt>
                <c:pt idx="31">
                  <c:v>63.704176600607397</c:v>
                </c:pt>
                <c:pt idx="32">
                  <c:v>63.326956308302833</c:v>
                </c:pt>
                <c:pt idx="33">
                  <c:v>62.953639412417338</c:v>
                </c:pt>
                <c:pt idx="34">
                  <c:v>62.584162797441721</c:v>
                </c:pt>
                <c:pt idx="35">
                  <c:v>62.218464604552949</c:v>
                </c:pt>
                <c:pt idx="36">
                  <c:v>61.856484205544483</c:v>
                </c:pt>
                <c:pt idx="37">
                  <c:v>61.498162177151414</c:v>
                </c:pt>
                <c:pt idx="38">
                  <c:v>61.143440275779234</c:v>
                </c:pt>
                <c:pt idx="39">
                  <c:v>60.792261412643271</c:v>
                </c:pt>
                <c:pt idx="40">
                  <c:v>60.444569629325059</c:v>
                </c:pt>
                <c:pt idx="41">
                  <c:v>60.100310073749839</c:v>
                </c:pt>
                <c:pt idx="42">
                  <c:v>59.759428976588588</c:v>
                </c:pt>
                <c:pt idx="43">
                  <c:v>59.421873628086516</c:v>
                </c:pt>
                <c:pt idx="44">
                  <c:v>59.087592355320155</c:v>
                </c:pt>
                <c:pt idx="45">
                  <c:v>58.756534499882065</c:v>
                </c:pt>
                <c:pt idx="46">
                  <c:v>58.428650395993678</c:v>
                </c:pt>
                <c:pt idx="47">
                  <c:v>58.103891349044559</c:v>
                </c:pt>
                <c:pt idx="48">
                  <c:v>57.78220961455613</c:v>
                </c:pt>
                <c:pt idx="49">
                  <c:v>57.463558377567438</c:v>
                </c:pt>
                <c:pt idx="50">
                  <c:v>57.14789173243993</c:v>
                </c:pt>
                <c:pt idx="51">
                  <c:v>56.835164663077173</c:v>
                </c:pt>
                <c:pt idx="52">
                  <c:v>56.525333023556207</c:v>
                </c:pt>
                <c:pt idx="53">
                  <c:v>56.218353519165468</c:v>
                </c:pt>
                <c:pt idx="54">
                  <c:v>55.91418368784494</c:v>
                </c:pt>
                <c:pt idx="55">
                  <c:v>55.612781882023086</c:v>
                </c:pt>
                <c:pt idx="56">
                  <c:v>55.314107250845488</c:v>
                </c:pt>
                <c:pt idx="57">
                  <c:v>55.018119722789883</c:v>
                </c:pt>
                <c:pt idx="58">
                  <c:v>54.724779988660885</c:v>
                </c:pt>
                <c:pt idx="59">
                  <c:v>54.43404948495958</c:v>
                </c:pt>
                <c:pt idx="60">
                  <c:v>54.145890377621349</c:v>
                </c:pt>
                <c:pt idx="61">
                  <c:v>53.860265546115656</c:v>
                </c:pt>
                <c:pt idx="62">
                  <c:v>53.577138567901635</c:v>
                </c:pt>
                <c:pt idx="63">
                  <c:v>53.296473703233559</c:v>
                </c:pt>
                <c:pt idx="64">
                  <c:v>53.018235880308922</c:v>
                </c:pt>
                <c:pt idx="65">
                  <c:v>52.742390680753587</c:v>
                </c:pt>
                <c:pt idx="66">
                  <c:v>52.468904325436789</c:v>
                </c:pt>
                <c:pt idx="67">
                  <c:v>52.197743660610243</c:v>
                </c:pt>
                <c:pt idx="68">
                  <c:v>51.928876144364082</c:v>
                </c:pt>
                <c:pt idx="69">
                  <c:v>51.662269833394447</c:v>
                </c:pt>
                <c:pt idx="70">
                  <c:v>51.397893370074605</c:v>
                </c:pt>
                <c:pt idx="71">
                  <c:v>51.135715969824894</c:v>
                </c:pt>
                <c:pt idx="72">
                  <c:v>50.875707408774382</c:v>
                </c:pt>
                <c:pt idx="73">
                  <c:v>50.617838011707704</c:v>
                </c:pt>
                <c:pt idx="74">
                  <c:v>50.36207864029187</c:v>
                </c:pt>
                <c:pt idx="75">
                  <c:v>50.108400681575993</c:v>
                </c:pt>
                <c:pt idx="76">
                  <c:v>49.85677603675812</c:v>
                </c:pt>
                <c:pt idx="77">
                  <c:v>49.607177110213804</c:v>
                </c:pt>
                <c:pt idx="78">
                  <c:v>49.359576798779727</c:v>
                </c:pt>
                <c:pt idx="79">
                  <c:v>49.113948481287032</c:v>
                </c:pt>
                <c:pt idx="80">
                  <c:v>48.87026600833849</c:v>
                </c:pt>
                <c:pt idx="81">
                  <c:v>48.628503692324159</c:v>
                </c:pt>
                <c:pt idx="82">
                  <c:v>48.388636297669649</c:v>
                </c:pt>
                <c:pt idx="83">
                  <c:v>48.150639031312032</c:v>
                </c:pt>
                <c:pt idx="84">
                  <c:v>47.914487533397363</c:v>
                </c:pt>
                <c:pt idx="85">
                  <c:v>47.68015786819533</c:v>
                </c:pt>
                <c:pt idx="86">
                  <c:v>47.447626515225785</c:v>
                </c:pt>
                <c:pt idx="87">
                  <c:v>47.216870360591713</c:v>
                </c:pt>
                <c:pt idx="88">
                  <c:v>46.987866688514039</c:v>
                </c:pt>
                <c:pt idx="89">
                  <c:v>46.760593173063285</c:v>
                </c:pt>
                <c:pt idx="90">
                  <c:v>46.535027870083859</c:v>
                </c:pt>
                <c:pt idx="91">
                  <c:v>46.311149209305469</c:v>
                </c:pt>
                <c:pt idx="92">
                  <c:v>46.0889359866378</c:v>
                </c:pt>
                <c:pt idx="93">
                  <c:v>45.868367356644335</c:v>
                </c:pt>
                <c:pt idx="94">
                  <c:v>45.649422825189298</c:v>
                </c:pt>
                <c:pt idx="95">
                  <c:v>45.432082242256499</c:v>
                </c:pt>
                <c:pt idx="96">
                  <c:v>45.216325794932153</c:v>
                </c:pt>
                <c:pt idx="97">
                  <c:v>45.002134000551131</c:v>
                </c:pt>
                <c:pt idx="98">
                  <c:v>44.789487700000684</c:v>
                </c:pt>
                <c:pt idx="99">
                  <c:v>44.57836805117801</c:v>
                </c:pt>
                <c:pt idx="100">
                  <c:v>44.368756522598524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809-4046-ADF9-9488D0146CB3}"/>
            </c:ext>
          </c:extLst>
        </c:ser>
        <c:ser>
          <c:idx val="1"/>
          <c:order val="1"/>
          <c:tx>
            <c:v>Bubble Point Curve</c:v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VLE!$A$5:$A$105</c:f>
              <c:numCache>
                <c:formatCode>0.00</c:formatCod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</c:numCache>
            </c:numRef>
          </c:xVal>
          <c:yVal>
            <c:numRef>
              <c:f>VLE!$C$5:$C$105</c:f>
              <c:numCache>
                <c:formatCode>0.0</c:formatCode>
                <c:ptCount val="101"/>
                <c:pt idx="0">
                  <c:v>77.745757524777105</c:v>
                </c:pt>
                <c:pt idx="1">
                  <c:v>77.20807474013472</c:v>
                </c:pt>
                <c:pt idx="2">
                  <c:v>76.677028050867719</c:v>
                </c:pt>
                <c:pt idx="3">
                  <c:v>76.152501576519285</c:v>
                </c:pt>
                <c:pt idx="4">
                  <c:v>75.634381513678704</c:v>
                </c:pt>
                <c:pt idx="5">
                  <c:v>75.122556120109707</c:v>
                </c:pt>
                <c:pt idx="6">
                  <c:v>74.616915697081637</c:v>
                </c:pt>
                <c:pt idx="7">
                  <c:v>74.11735256998864</c:v>
                </c:pt>
                <c:pt idx="8">
                  <c:v>73.623761067432142</c:v>
                </c:pt>
                <c:pt idx="9">
                  <c:v>73.136037498932595</c:v>
                </c:pt>
                <c:pt idx="10">
                  <c:v>72.654080131423385</c:v>
                </c:pt>
                <c:pt idx="11">
                  <c:v>72.177789164670187</c:v>
                </c:pt>
                <c:pt idx="12">
                  <c:v>71.707066705750492</c:v>
                </c:pt>
                <c:pt idx="13">
                  <c:v>71.241816742716566</c:v>
                </c:pt>
                <c:pt idx="14">
                  <c:v>70.781945117557584</c:v>
                </c:pt>
                <c:pt idx="15">
                  <c:v>70.327359498568413</c:v>
                </c:pt>
                <c:pt idx="16">
                  <c:v>69.877969352223275</c:v>
                </c:pt>
                <c:pt idx="17">
                  <c:v>69.433685914646617</c:v>
                </c:pt>
                <c:pt idx="18">
                  <c:v>68.994422162765133</c:v>
                </c:pt>
                <c:pt idx="19">
                  <c:v>68.560092785218941</c:v>
                </c:pt>
                <c:pt idx="20">
                  <c:v>68.130614153103352</c:v>
                </c:pt>
                <c:pt idx="21">
                  <c:v>67.705904290607052</c:v>
                </c:pt>
                <c:pt idx="22">
                  <c:v>67.285882845606494</c:v>
                </c:pt>
                <c:pt idx="23">
                  <c:v>66.870471060271626</c:v>
                </c:pt>
                <c:pt idx="24">
                  <c:v>66.45959174173268</c:v>
                </c:pt>
                <c:pt idx="25">
                  <c:v>66.053169232854344</c:v>
                </c:pt>
                <c:pt idx="26">
                  <c:v>65.651129383157595</c:v>
                </c:pt>
                <c:pt idx="27">
                  <c:v>65.253399519927356</c:v>
                </c:pt>
                <c:pt idx="28">
                  <c:v>64.859908419539309</c:v>
                </c:pt>
                <c:pt idx="29">
                  <c:v>64.470586279036056</c:v>
                </c:pt>
                <c:pt idx="30">
                  <c:v>64.085364687980118</c:v>
                </c:pt>
                <c:pt idx="31">
                  <c:v>63.704176600607397</c:v>
                </c:pt>
                <c:pt idx="32">
                  <c:v>63.326956308302833</c:v>
                </c:pt>
                <c:pt idx="33">
                  <c:v>62.953639412417338</c:v>
                </c:pt>
                <c:pt idx="34">
                  <c:v>62.584162797441721</c:v>
                </c:pt>
                <c:pt idx="35">
                  <c:v>62.218464604552949</c:v>
                </c:pt>
                <c:pt idx="36">
                  <c:v>61.856484205544483</c:v>
                </c:pt>
                <c:pt idx="37">
                  <c:v>61.498162177151414</c:v>
                </c:pt>
                <c:pt idx="38">
                  <c:v>61.143440275779234</c:v>
                </c:pt>
                <c:pt idx="39">
                  <c:v>60.792261412643271</c:v>
                </c:pt>
                <c:pt idx="40">
                  <c:v>60.444569629325059</c:v>
                </c:pt>
                <c:pt idx="41">
                  <c:v>60.100310073749839</c:v>
                </c:pt>
                <c:pt idx="42">
                  <c:v>59.759428976588588</c:v>
                </c:pt>
                <c:pt idx="43">
                  <c:v>59.421873628086516</c:v>
                </c:pt>
                <c:pt idx="44">
                  <c:v>59.087592355320155</c:v>
                </c:pt>
                <c:pt idx="45">
                  <c:v>58.756534499882065</c:v>
                </c:pt>
                <c:pt idx="46">
                  <c:v>58.428650395993678</c:v>
                </c:pt>
                <c:pt idx="47">
                  <c:v>58.103891349044559</c:v>
                </c:pt>
                <c:pt idx="48">
                  <c:v>57.78220961455613</c:v>
                </c:pt>
                <c:pt idx="49">
                  <c:v>57.463558377567438</c:v>
                </c:pt>
                <c:pt idx="50">
                  <c:v>57.14789173243993</c:v>
                </c:pt>
                <c:pt idx="51">
                  <c:v>56.835164663077173</c:v>
                </c:pt>
                <c:pt idx="52">
                  <c:v>56.525333023556207</c:v>
                </c:pt>
                <c:pt idx="53">
                  <c:v>56.218353519165468</c:v>
                </c:pt>
                <c:pt idx="54">
                  <c:v>55.91418368784494</c:v>
                </c:pt>
                <c:pt idx="55">
                  <c:v>55.612781882023086</c:v>
                </c:pt>
                <c:pt idx="56">
                  <c:v>55.314107250845488</c:v>
                </c:pt>
                <c:pt idx="57">
                  <c:v>55.018119722789883</c:v>
                </c:pt>
                <c:pt idx="58">
                  <c:v>54.724779988660885</c:v>
                </c:pt>
                <c:pt idx="59">
                  <c:v>54.43404948495958</c:v>
                </c:pt>
                <c:pt idx="60">
                  <c:v>54.145890377621349</c:v>
                </c:pt>
                <c:pt idx="61">
                  <c:v>53.860265546115656</c:v>
                </c:pt>
                <c:pt idx="62">
                  <c:v>53.577138567901635</c:v>
                </c:pt>
                <c:pt idx="63">
                  <c:v>53.296473703233559</c:v>
                </c:pt>
                <c:pt idx="64">
                  <c:v>53.018235880308922</c:v>
                </c:pt>
                <c:pt idx="65">
                  <c:v>52.742390680753587</c:v>
                </c:pt>
                <c:pt idx="66">
                  <c:v>52.468904325436789</c:v>
                </c:pt>
                <c:pt idx="67">
                  <c:v>52.197743660610243</c:v>
                </c:pt>
                <c:pt idx="68">
                  <c:v>51.928876144364082</c:v>
                </c:pt>
                <c:pt idx="69">
                  <c:v>51.662269833394447</c:v>
                </c:pt>
                <c:pt idx="70">
                  <c:v>51.397893370074605</c:v>
                </c:pt>
                <c:pt idx="71">
                  <c:v>51.135715969824894</c:v>
                </c:pt>
                <c:pt idx="72">
                  <c:v>50.875707408774382</c:v>
                </c:pt>
                <c:pt idx="73">
                  <c:v>50.617838011707704</c:v>
                </c:pt>
                <c:pt idx="74">
                  <c:v>50.36207864029187</c:v>
                </c:pt>
                <c:pt idx="75">
                  <c:v>50.108400681575993</c:v>
                </c:pt>
                <c:pt idx="76">
                  <c:v>49.85677603675812</c:v>
                </c:pt>
                <c:pt idx="77">
                  <c:v>49.607177110213804</c:v>
                </c:pt>
                <c:pt idx="78">
                  <c:v>49.359576798779727</c:v>
                </c:pt>
                <c:pt idx="79">
                  <c:v>49.113948481287032</c:v>
                </c:pt>
                <c:pt idx="80">
                  <c:v>48.87026600833849</c:v>
                </c:pt>
                <c:pt idx="81">
                  <c:v>48.628503692324159</c:v>
                </c:pt>
                <c:pt idx="82">
                  <c:v>48.388636297669649</c:v>
                </c:pt>
                <c:pt idx="83">
                  <c:v>48.150639031312032</c:v>
                </c:pt>
                <c:pt idx="84">
                  <c:v>47.914487533397363</c:v>
                </c:pt>
                <c:pt idx="85">
                  <c:v>47.68015786819533</c:v>
                </c:pt>
                <c:pt idx="86">
                  <c:v>47.447626515225785</c:v>
                </c:pt>
                <c:pt idx="87">
                  <c:v>47.216870360591713</c:v>
                </c:pt>
                <c:pt idx="88">
                  <c:v>46.987866688514039</c:v>
                </c:pt>
                <c:pt idx="89">
                  <c:v>46.760593173063285</c:v>
                </c:pt>
                <c:pt idx="90">
                  <c:v>46.535027870083859</c:v>
                </c:pt>
                <c:pt idx="91">
                  <c:v>46.311149209305469</c:v>
                </c:pt>
                <c:pt idx="92">
                  <c:v>46.0889359866378</c:v>
                </c:pt>
                <c:pt idx="93">
                  <c:v>45.868367356644335</c:v>
                </c:pt>
                <c:pt idx="94">
                  <c:v>45.649422825189298</c:v>
                </c:pt>
                <c:pt idx="95">
                  <c:v>45.432082242256499</c:v>
                </c:pt>
                <c:pt idx="96">
                  <c:v>45.216325794932153</c:v>
                </c:pt>
                <c:pt idx="97">
                  <c:v>45.002134000551131</c:v>
                </c:pt>
                <c:pt idx="98">
                  <c:v>44.789487700000684</c:v>
                </c:pt>
                <c:pt idx="99">
                  <c:v>44.57836805117801</c:v>
                </c:pt>
                <c:pt idx="100">
                  <c:v>44.368756522598524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E809-4046-ADF9-9488D0146C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2630144"/>
        <c:axId val="392630704"/>
      </c:scatterChart>
      <c:valAx>
        <c:axId val="392630144"/>
        <c:scaling>
          <c:orientation val="minMax"/>
          <c:max val="1"/>
        </c:scaling>
        <c:delete val="0"/>
        <c:axPos val="b"/>
        <c:majorGridlines>
          <c:spPr>
            <a:ln w="6350">
              <a:solidFill>
                <a:schemeClr val="tx1"/>
              </a:solidFill>
              <a:prstDash val="dash"/>
            </a:ln>
          </c:spPr>
        </c:majorGridlines>
        <c:minorGridlines>
          <c:spPr>
            <a:ln w="6350">
              <a:solidFill>
                <a:schemeClr val="tx1"/>
              </a:solidFill>
              <a:prstDash val="dash"/>
            </a:ln>
          </c:spPr>
        </c:minorGridlines>
        <c:title>
          <c:tx>
            <c:rich>
              <a:bodyPr/>
              <a:lstStyle/>
              <a:p>
                <a:pPr>
                  <a:defRPr sz="2000"/>
                </a:pPr>
                <a:r>
                  <a:rPr lang="en-US" sz="2000"/>
                  <a:t>x,y (mole fraction)</a:t>
                </a:r>
              </a:p>
            </c:rich>
          </c:tx>
          <c:layout/>
          <c:overlay val="0"/>
        </c:title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en-US"/>
          </a:p>
        </c:txPr>
        <c:crossAx val="392630704"/>
        <c:crosses val="autoZero"/>
        <c:crossBetween val="midCat"/>
        <c:majorUnit val="0.1"/>
        <c:minorUnit val="5.000000000000001E-2"/>
      </c:valAx>
      <c:valAx>
        <c:axId val="392630704"/>
        <c:scaling>
          <c:orientation val="minMax"/>
          <c:max val="80"/>
          <c:min val="40"/>
        </c:scaling>
        <c:delete val="0"/>
        <c:axPos val="l"/>
        <c:majorGridlines>
          <c:spPr>
            <a:ln w="6350">
              <a:solidFill>
                <a:schemeClr val="tx1"/>
              </a:solidFill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2000"/>
                </a:pPr>
                <a:r>
                  <a:rPr lang="en-US" sz="2000"/>
                  <a:t>T</a:t>
                </a:r>
                <a:r>
                  <a:rPr lang="en-US" sz="2000" baseline="0"/>
                  <a:t> (</a:t>
                </a:r>
                <a:r>
                  <a:rPr lang="en-US" sz="2000" baseline="30000"/>
                  <a:t>o</a:t>
                </a:r>
                <a:r>
                  <a:rPr lang="en-US" sz="2000" baseline="0"/>
                  <a:t>C)</a:t>
                </a:r>
                <a:endParaRPr lang="en-US" sz="2000"/>
              </a:p>
            </c:rich>
          </c:tx>
          <c:layout>
            <c:manualLayout>
              <c:xMode val="edge"/>
              <c:yMode val="edge"/>
              <c:x val="1.69302870533099E-2"/>
              <c:y val="0.4147253309438015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en-US"/>
          </a:p>
        </c:txPr>
        <c:crossAx val="392630144"/>
        <c:crosses val="autoZero"/>
        <c:crossBetween val="midCat"/>
        <c:majorUnit val="2"/>
        <c:minorUnit val="1"/>
      </c:valAx>
      <c:spPr>
        <a:ln w="25400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60445959449776354"/>
          <c:y val="0.16876057875363279"/>
          <c:w val="0.22676439762038608"/>
          <c:h val="0.10241226642722195"/>
        </c:manualLayout>
      </c:layout>
      <c:overlay val="1"/>
      <c:spPr>
        <a:solidFill>
          <a:schemeClr val="bg1">
            <a:lumMod val="95000"/>
          </a:schemeClr>
        </a:solidFill>
        <a:ln w="28575">
          <a:solidFill>
            <a:schemeClr val="bg1">
              <a:lumMod val="50000"/>
            </a:schemeClr>
          </a:solidFill>
        </a:ln>
      </c:spPr>
      <c:txPr>
        <a:bodyPr/>
        <a:lstStyle/>
        <a:p>
          <a:pPr>
            <a:defRPr sz="1600" b="0"/>
          </a:pPr>
          <a:endParaRPr lang="en-US"/>
        </a:p>
      </c:txPr>
    </c:legend>
    <c:plotVisOnly val="1"/>
    <c:dispBlanksAs val="gap"/>
    <c:showDLblsOverMax val="0"/>
  </c:chart>
  <c:spPr>
    <a:ln w="25400">
      <a:noFill/>
    </a:ln>
  </c:spPr>
  <c:printSettings>
    <c:headerFooter/>
    <c:pageMargins b="0.75" l="0.7" r="0.7" t="0.75" header="0.3" footer="0.3"/>
    <c:pageSetup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/>
  </sheetViews>
  <pageMargins left="0.75" right="0.75" top="1" bottom="1" header="0.5" footer="0.5"/>
  <pageSetup orientation="landscape" horizontalDpi="4294967292" verticalDpi="4294967292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3"/>
  <sheetViews>
    <sheetView zoomScale="90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5"/>
  <sheetViews>
    <sheetView zoomScale="90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/>
  </sheetViews>
  <pageMargins left="0.75" right="0.75" top="1" bottom="1" header="0.5" footer="0.5"/>
  <pageSetup orientation="landscape" horizontalDpi="4294967292" verticalDpi="4294967292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72500" cy="582083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72500" cy="582083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572500" cy="582083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2462213" y="38100"/>
    <xdr:ext cx="8659556" cy="628342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A68"/>
  <sheetViews>
    <sheetView showGridLines="0" zoomScale="50" zoomScaleNormal="50" workbookViewId="0">
      <selection activeCell="I29" sqref="I29"/>
    </sheetView>
  </sheetViews>
  <sheetFormatPr defaultColWidth="11" defaultRowHeight="12.75" x14ac:dyDescent="0.2"/>
  <cols>
    <col min="1" max="6" width="16.625" customWidth="1"/>
    <col min="7" max="7" width="14.625" customWidth="1"/>
    <col min="8" max="8" width="17.25" customWidth="1"/>
    <col min="9" max="9" width="14.625" customWidth="1"/>
    <col min="10" max="10" width="18" customWidth="1"/>
    <col min="11" max="14" width="14.625" customWidth="1"/>
    <col min="15" max="27" width="16.625" customWidth="1"/>
  </cols>
  <sheetData>
    <row r="1" spans="1:27" ht="24.95" customHeight="1" x14ac:dyDescent="0.4">
      <c r="A1" s="27" t="s">
        <v>74</v>
      </c>
      <c r="B1" s="12"/>
      <c r="C1" s="12"/>
      <c r="D1" s="14"/>
      <c r="E1" s="13"/>
      <c r="F1" s="12"/>
      <c r="J1" s="12"/>
      <c r="K1" s="12"/>
      <c r="L1" s="12"/>
      <c r="M1" s="12"/>
      <c r="N1" s="12"/>
    </row>
    <row r="2" spans="1:27" ht="24.95" customHeight="1" thickBot="1" x14ac:dyDescent="0.4">
      <c r="A2" s="28"/>
      <c r="B2" s="28"/>
      <c r="C2" s="28"/>
      <c r="D2" s="29"/>
      <c r="E2" s="30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27" ht="24.95" customHeight="1" thickTop="1" thickBot="1" x14ac:dyDescent="0.4">
      <c r="A3" s="31" t="s">
        <v>15</v>
      </c>
      <c r="B3" s="32">
        <v>2</v>
      </c>
      <c r="C3" s="33"/>
      <c r="D3" s="34" t="s">
        <v>37</v>
      </c>
      <c r="E3" s="35"/>
      <c r="F3" s="36"/>
      <c r="G3" s="33"/>
      <c r="H3" s="265" t="s">
        <v>73</v>
      </c>
      <c r="I3" s="266"/>
      <c r="J3" s="33"/>
      <c r="K3" s="33"/>
      <c r="L3" s="33"/>
      <c r="M3" s="33"/>
      <c r="N3" s="33"/>
      <c r="O3" s="33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</row>
    <row r="4" spans="1:27" ht="24.95" customHeight="1" thickTop="1" thickBot="1" x14ac:dyDescent="0.4">
      <c r="A4" s="38" t="s">
        <v>16</v>
      </c>
      <c r="B4" s="39">
        <v>1000</v>
      </c>
      <c r="C4" s="33"/>
      <c r="D4" s="40" t="s">
        <v>38</v>
      </c>
      <c r="E4" s="41"/>
      <c r="F4" s="42"/>
      <c r="G4" s="33"/>
      <c r="H4" s="43" t="s">
        <v>89</v>
      </c>
      <c r="I4" s="44">
        <v>58.7</v>
      </c>
      <c r="J4" s="33"/>
      <c r="K4" s="33"/>
      <c r="L4" s="33"/>
      <c r="M4" s="33"/>
      <c r="N4" s="33"/>
      <c r="O4" s="33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</row>
    <row r="5" spans="1:27" ht="24.95" customHeight="1" thickTop="1" thickBot="1" x14ac:dyDescent="0.4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</row>
    <row r="6" spans="1:27" ht="24.95" customHeight="1" thickTop="1" thickBot="1" x14ac:dyDescent="0.5">
      <c r="A6" s="45" t="s">
        <v>1</v>
      </c>
      <c r="B6" s="46" t="s">
        <v>39</v>
      </c>
      <c r="C6" s="46" t="s">
        <v>40</v>
      </c>
      <c r="D6" s="46" t="s">
        <v>41</v>
      </c>
      <c r="E6" s="46" t="s">
        <v>42</v>
      </c>
      <c r="F6" s="46" t="s">
        <v>90</v>
      </c>
      <c r="G6" s="46" t="s">
        <v>43</v>
      </c>
      <c r="H6" s="46" t="s">
        <v>44</v>
      </c>
      <c r="I6" s="46" t="s">
        <v>45</v>
      </c>
      <c r="J6" s="46" t="s">
        <v>46</v>
      </c>
      <c r="K6" s="46" t="s">
        <v>91</v>
      </c>
      <c r="L6" s="46" t="s">
        <v>92</v>
      </c>
      <c r="M6" s="46" t="s">
        <v>93</v>
      </c>
      <c r="N6" s="46" t="s">
        <v>32</v>
      </c>
      <c r="O6" s="46" t="s">
        <v>94</v>
      </c>
      <c r="P6" s="46" t="s">
        <v>95</v>
      </c>
      <c r="Q6" s="46" t="s">
        <v>96</v>
      </c>
      <c r="R6" s="46" t="s">
        <v>97</v>
      </c>
      <c r="S6" s="46" t="s">
        <v>98</v>
      </c>
      <c r="T6" s="46" t="s">
        <v>99</v>
      </c>
      <c r="U6" s="46" t="s">
        <v>100</v>
      </c>
      <c r="V6" s="47" t="s">
        <v>71</v>
      </c>
      <c r="W6" s="37"/>
      <c r="X6" s="37"/>
      <c r="Y6" s="37"/>
      <c r="Z6" s="37"/>
      <c r="AA6" s="37"/>
    </row>
    <row r="7" spans="1:27" ht="24.95" customHeight="1" thickTop="1" thickBot="1" x14ac:dyDescent="0.4">
      <c r="A7" s="48" t="s">
        <v>13</v>
      </c>
      <c r="B7" s="49"/>
      <c r="C7" s="49"/>
      <c r="D7" s="49"/>
      <c r="E7" s="50">
        <v>50</v>
      </c>
      <c r="F7" s="51">
        <v>0.89401956105159686</v>
      </c>
      <c r="G7" s="52">
        <f>+E7*B3</f>
        <v>100</v>
      </c>
      <c r="H7" s="53">
        <f>+F7</f>
        <v>0.89401956105159686</v>
      </c>
      <c r="I7" s="49"/>
      <c r="J7" s="49"/>
      <c r="K7" s="54">
        <v>46.669721725926522</v>
      </c>
      <c r="L7" s="53">
        <f t="shared" ref="L7:L18" si="0">10^($B$24-$C$24/($D$24+K7))/$B$4</f>
        <v>1.075964636830171</v>
      </c>
      <c r="M7" s="53">
        <f t="shared" ref="M7:M18" si="1">10^($B$25-$C$25/($D$25+K7))/$B$4</f>
        <v>0.35918484629564362</v>
      </c>
      <c r="N7" s="55">
        <f>+H7*L7+(1-H7)*M7</f>
        <v>0.99999999999997735</v>
      </c>
      <c r="O7" s="56">
        <f>+$I$24*(K7-$K$24)+$J$24*(K7^2-$K$24^2)/2</f>
        <v>1.8387374930820128</v>
      </c>
      <c r="P7" s="56">
        <f>+$I$25*(K7-$K$25)+$J$25*(K7^2-$K$25^2)</f>
        <v>-4.7738011906820921</v>
      </c>
      <c r="Q7" s="57"/>
      <c r="R7" s="57"/>
      <c r="S7" s="57"/>
      <c r="T7" s="52">
        <f>+G7*(H7*O7+(1-H7)*P7)</f>
        <v>113.79377408133971</v>
      </c>
      <c r="U7" s="58" t="s">
        <v>72</v>
      </c>
      <c r="V7" s="59">
        <f>+T7+E7*(F7*O7+(1-F7)*P7)-U8</f>
        <v>-3943.5594374009993</v>
      </c>
      <c r="W7" s="37"/>
      <c r="X7" s="37"/>
      <c r="Y7" s="37"/>
      <c r="Z7" s="37"/>
      <c r="AA7" s="37"/>
    </row>
    <row r="8" spans="1:27" ht="24.95" customHeight="1" thickTop="1" thickBot="1" x14ac:dyDescent="0.4">
      <c r="A8" s="48">
        <v>1</v>
      </c>
      <c r="B8" s="60"/>
      <c r="C8" s="61"/>
      <c r="D8" s="62">
        <f>+B8*C8</f>
        <v>0</v>
      </c>
      <c r="E8" s="49"/>
      <c r="F8" s="49"/>
      <c r="G8" s="52">
        <f>+I9+G7+B8-I8</f>
        <v>96.229588106479611</v>
      </c>
      <c r="H8" s="53">
        <f t="shared" ref="H8:H18" si="2">+J8/L8</f>
        <v>0.74152536042767381</v>
      </c>
      <c r="I8" s="52">
        <f>+E7+G7</f>
        <v>150</v>
      </c>
      <c r="J8" s="53">
        <f>+F7</f>
        <v>0.89401956105159686</v>
      </c>
      <c r="K8" s="63">
        <v>50.32324978104203</v>
      </c>
      <c r="L8" s="53">
        <f t="shared" si="0"/>
        <v>1.2056493395397458</v>
      </c>
      <c r="M8" s="53">
        <f t="shared" si="1"/>
        <v>0.41002258141770775</v>
      </c>
      <c r="N8" s="55">
        <f t="shared" ref="N8:N18" si="3">+J8/L8+(1-J8)/M8</f>
        <v>0.99999999999986922</v>
      </c>
      <c r="O8" s="56">
        <f t="shared" ref="O8:O18" si="4">+$I$24*(K8-$K$24)+$J$24*(K8^2-$K$24^2)/2</f>
        <v>2.4838894057398235</v>
      </c>
      <c r="P8" s="56">
        <f t="shared" ref="P8:P18" si="5">+$I$25*(K8-$K$25)+$J$25*(K8^2-$K$25^2)</f>
        <v>-3.9835430723606078</v>
      </c>
      <c r="Q8" s="56">
        <f>+$L$24+$E$24*(K8-$K$24)+$F$24*(K8^2-$K$24^2)/2+$G$24*(K8^3-$K$24^3)/3+$H$24*(K8^4-$K$24^4)/4</f>
        <v>27.611116075392335</v>
      </c>
      <c r="R8" s="56">
        <f>+$L$25+$E$25*(K8-$K$25)+$F$25*(K8^2-$K$25^2)/2+$G$25*(K8^3-$K$25^3)/3+$H$25*(K8^4-$K$25^4)/4</f>
        <v>25.88643851175318</v>
      </c>
      <c r="S8" s="56">
        <v>0</v>
      </c>
      <c r="T8" s="52">
        <f t="shared" ref="T8:T18" si="6">+G8*(H8*O8+(1-H8)*P8)</f>
        <v>78.159800732607792</v>
      </c>
      <c r="U8" s="52">
        <f>+I8*(J8*Q8+(1-J8)*R8)</f>
        <v>4114.250098523009</v>
      </c>
      <c r="V8" s="64">
        <f t="shared" ref="V8:V17" si="7">+T8+U8-T7-U9-S8</f>
        <v>2.02817318495363E-10</v>
      </c>
      <c r="W8" s="37"/>
      <c r="X8" s="37"/>
      <c r="Y8" s="37"/>
      <c r="Z8" s="37"/>
      <c r="AA8" s="37"/>
    </row>
    <row r="9" spans="1:27" ht="24.95" customHeight="1" thickTop="1" x14ac:dyDescent="0.35">
      <c r="A9" s="48">
        <v>2</v>
      </c>
      <c r="B9" s="65"/>
      <c r="C9" s="66"/>
      <c r="D9" s="67">
        <f t="shared" ref="D9:D17" si="8">+B9*C9</f>
        <v>0</v>
      </c>
      <c r="E9" s="49"/>
      <c r="F9" s="49"/>
      <c r="G9" s="52">
        <f t="shared" ref="G9:G18" si="9">+I10+G8+B9-I9</f>
        <v>93.260361316850265</v>
      </c>
      <c r="H9" s="53">
        <f t="shared" si="2"/>
        <v>0.57232395543129488</v>
      </c>
      <c r="I9" s="54">
        <v>146.22958810647961</v>
      </c>
      <c r="J9" s="53">
        <f t="shared" ref="J9:J18" si="10">+(I8*J8+G8*H8-B8*C8-G7*H7)/I9</f>
        <v>0.7936674072591543</v>
      </c>
      <c r="K9" s="63">
        <v>54.949714133776631</v>
      </c>
      <c r="L9" s="53">
        <f t="shared" si="0"/>
        <v>1.3867450413831766</v>
      </c>
      <c r="M9" s="53">
        <f t="shared" si="1"/>
        <v>0.48245066648340168</v>
      </c>
      <c r="N9" s="55">
        <f t="shared" si="3"/>
        <v>0.99999999999935518</v>
      </c>
      <c r="O9" s="56">
        <f t="shared" si="4"/>
        <v>3.3092118548399041</v>
      </c>
      <c r="P9" s="56">
        <f t="shared" si="5"/>
        <v>-2.9828388328641133</v>
      </c>
      <c r="Q9" s="56">
        <f t="shared" ref="Q9:Q18" si="11">+$L$24+$E$24*(K9-$K$24)+$F$24*(K9^2-$K$24^2)/2+$G$24*(K9^3-$K$24^3)/3+$H$24*(K9^4-$K$24^4)/4</f>
        <v>28.222843273964422</v>
      </c>
      <c r="R9" s="56">
        <f t="shared" ref="R9:R18" si="12">+$L$25+$E$25*(K9-$K$25)+$F$25*(K9^2-$K$25^2)/2+$G$25*(K9^3-$K$25^3)/3+$H$25*(K9^4-$K$25^4)/4</f>
        <v>26.618748942174189</v>
      </c>
      <c r="S9" s="56">
        <v>0</v>
      </c>
      <c r="T9" s="52">
        <f t="shared" si="6"/>
        <v>57.658451954423754</v>
      </c>
      <c r="U9" s="52">
        <f t="shared" ref="U9:U18" si="13">+I9*(J9*Q9+(1-J9)*R9)</f>
        <v>4078.6161251740741</v>
      </c>
      <c r="V9" s="64">
        <f>+T9+U9-T8-U10-S9</f>
        <v>3.979039320256561E-10</v>
      </c>
      <c r="W9" s="37"/>
      <c r="X9" s="37"/>
      <c r="Y9" s="37"/>
      <c r="Z9" s="37"/>
      <c r="AA9" s="37"/>
    </row>
    <row r="10" spans="1:27" ht="24.95" customHeight="1" x14ac:dyDescent="0.35">
      <c r="A10" s="48">
        <v>3</v>
      </c>
      <c r="B10" s="65"/>
      <c r="C10" s="66"/>
      <c r="D10" s="67">
        <f>+B10*C10</f>
        <v>0</v>
      </c>
      <c r="E10" s="49"/>
      <c r="F10" s="49"/>
      <c r="G10" s="52">
        <f>+I11+G9+B10-I10</f>
        <v>91.660059191496003</v>
      </c>
      <c r="H10" s="53">
        <f t="shared" si="2"/>
        <v>0.43524268093396012</v>
      </c>
      <c r="I10" s="63">
        <v>143.26036131685026</v>
      </c>
      <c r="J10" s="53">
        <f t="shared" si="10"/>
        <v>0.68460051353266849</v>
      </c>
      <c r="K10" s="63">
        <v>59.246215560481538</v>
      </c>
      <c r="L10" s="53">
        <f t="shared" si="0"/>
        <v>1.572916773841267</v>
      </c>
      <c r="M10" s="53">
        <f t="shared" si="1"/>
        <v>0.5584690553274787</v>
      </c>
      <c r="N10" s="55">
        <f t="shared" si="3"/>
        <v>0.99999999999864042</v>
      </c>
      <c r="O10" s="56">
        <f t="shared" si="4"/>
        <v>4.0840446022582384</v>
      </c>
      <c r="P10" s="56">
        <f t="shared" si="5"/>
        <v>-2.0535055742678421</v>
      </c>
      <c r="Q10" s="56">
        <f t="shared" si="11"/>
        <v>28.79708432750239</v>
      </c>
      <c r="R10" s="56">
        <f t="shared" si="12"/>
        <v>27.306167966211397</v>
      </c>
      <c r="S10" s="56">
        <v>0</v>
      </c>
      <c r="T10" s="52">
        <f t="shared" si="6"/>
        <v>56.629254516714795</v>
      </c>
      <c r="U10" s="52">
        <f t="shared" si="13"/>
        <v>4058.1147763954923</v>
      </c>
      <c r="V10" s="64">
        <f t="shared" si="7"/>
        <v>2.1691448637284338E-10</v>
      </c>
      <c r="W10" s="37"/>
      <c r="X10" s="37"/>
      <c r="Y10" s="37"/>
      <c r="Z10" s="37"/>
      <c r="AA10" s="37"/>
    </row>
    <row r="11" spans="1:27" ht="24.95" customHeight="1" x14ac:dyDescent="0.35">
      <c r="A11" s="48">
        <v>4</v>
      </c>
      <c r="B11" s="65">
        <v>100</v>
      </c>
      <c r="C11" s="66">
        <v>0.45</v>
      </c>
      <c r="D11" s="67">
        <f t="shared" si="8"/>
        <v>45</v>
      </c>
      <c r="E11" s="49"/>
      <c r="F11" s="49"/>
      <c r="G11" s="52">
        <f t="shared" si="9"/>
        <v>190.24282627501881</v>
      </c>
      <c r="H11" s="53">
        <f t="shared" si="2"/>
        <v>0.34801062555176593</v>
      </c>
      <c r="I11" s="63">
        <v>141.660059191496</v>
      </c>
      <c r="J11" s="53">
        <f>+(I10*J10+G10*H10-B10*C10-G9*H9)/I11</f>
        <v>0.59717148526174268</v>
      </c>
      <c r="K11" s="63">
        <v>62.290917519140841</v>
      </c>
      <c r="L11" s="53">
        <f t="shared" si="0"/>
        <v>1.7159576214517467</v>
      </c>
      <c r="M11" s="53">
        <f t="shared" si="1"/>
        <v>0.61784521424157601</v>
      </c>
      <c r="N11" s="55">
        <f t="shared" si="3"/>
        <v>0.99999999999847367</v>
      </c>
      <c r="O11" s="56">
        <f t="shared" si="4"/>
        <v>4.6380089720486941</v>
      </c>
      <c r="P11" s="56">
        <f t="shared" si="5"/>
        <v>-1.3949365406098351</v>
      </c>
      <c r="Q11" s="56">
        <f t="shared" si="11"/>
        <v>29.207583470294832</v>
      </c>
      <c r="R11" s="56">
        <f t="shared" si="12"/>
        <v>27.797562766887513</v>
      </c>
      <c r="S11" s="56">
        <f>+Flash!G17</f>
        <v>59.888302042800113</v>
      </c>
      <c r="T11" s="52">
        <f t="shared" si="6"/>
        <v>134.04368781908195</v>
      </c>
      <c r="U11" s="52">
        <f t="shared" si="13"/>
        <v>4057.0855789575658</v>
      </c>
      <c r="V11" s="64">
        <f t="shared" si="7"/>
        <v>-8.7711121921074664E-8</v>
      </c>
      <c r="W11" s="37"/>
      <c r="X11" s="37"/>
      <c r="Y11" s="37"/>
      <c r="Z11" s="37"/>
      <c r="AA11" s="37"/>
    </row>
    <row r="12" spans="1:27" ht="24.95" customHeight="1" x14ac:dyDescent="0.35">
      <c r="A12" s="48">
        <v>5</v>
      </c>
      <c r="B12" s="65"/>
      <c r="C12" s="66"/>
      <c r="D12" s="67">
        <f>+B12*C12</f>
        <v>0</v>
      </c>
      <c r="E12" s="49"/>
      <c r="F12" s="49"/>
      <c r="G12" s="52">
        <f t="shared" si="9"/>
        <v>189.57150290910673</v>
      </c>
      <c r="H12" s="53">
        <f t="shared" si="2"/>
        <v>0.24524484408940717</v>
      </c>
      <c r="I12" s="63">
        <v>140.24282627501881</v>
      </c>
      <c r="J12" s="53">
        <f t="shared" si="10"/>
        <v>0.46995275823976362</v>
      </c>
      <c r="K12" s="63">
        <v>66.245878439840155</v>
      </c>
      <c r="L12" s="53">
        <f t="shared" si="0"/>
        <v>1.9162594833938131</v>
      </c>
      <c r="M12" s="53">
        <f t="shared" si="1"/>
        <v>0.70227707301293496</v>
      </c>
      <c r="N12" s="55">
        <f t="shared" si="3"/>
        <v>1.000000000036914</v>
      </c>
      <c r="O12" s="56">
        <f t="shared" si="4"/>
        <v>5.3636352873932722</v>
      </c>
      <c r="P12" s="56">
        <f t="shared" si="5"/>
        <v>-0.53947849346257337</v>
      </c>
      <c r="Q12" s="56">
        <f t="shared" si="11"/>
        <v>29.745203891253539</v>
      </c>
      <c r="R12" s="56">
        <f t="shared" si="12"/>
        <v>28.441116583885684</v>
      </c>
      <c r="S12" s="56">
        <v>0</v>
      </c>
      <c r="T12" s="52">
        <f t="shared" si="6"/>
        <v>172.1744740242535</v>
      </c>
      <c r="U12" s="52">
        <f t="shared" si="13"/>
        <v>4074.6117103048441</v>
      </c>
      <c r="V12" s="64">
        <f t="shared" si="7"/>
        <v>5.643505573971197E-8</v>
      </c>
      <c r="W12" s="37"/>
      <c r="X12" s="37"/>
      <c r="Y12" s="37"/>
      <c r="Z12" s="37"/>
      <c r="AA12" s="37"/>
    </row>
    <row r="13" spans="1:27" ht="24.95" customHeight="1" x14ac:dyDescent="0.35">
      <c r="A13" s="48">
        <v>6</v>
      </c>
      <c r="B13" s="65"/>
      <c r="C13" s="66"/>
      <c r="D13" s="67">
        <f t="shared" si="8"/>
        <v>0</v>
      </c>
      <c r="E13" s="49"/>
      <c r="F13" s="49"/>
      <c r="G13" s="52">
        <f t="shared" si="9"/>
        <v>189.78417040100743</v>
      </c>
      <c r="H13" s="53">
        <f t="shared" si="2"/>
        <v>0.15563753775954769</v>
      </c>
      <c r="I13" s="63">
        <v>139.57150290910675</v>
      </c>
      <c r="J13" s="53">
        <f>+(I12*J12+G12*H12-B12*C12-G11*H11)/I13</f>
        <v>0.33095876138412184</v>
      </c>
      <c r="K13" s="63">
        <v>70.073380960289271</v>
      </c>
      <c r="L13" s="53">
        <f t="shared" si="0"/>
        <v>2.1264713265731352</v>
      </c>
      <c r="M13" s="53">
        <f t="shared" si="1"/>
        <v>0.79236260315982998</v>
      </c>
      <c r="N13" s="55">
        <f t="shared" si="3"/>
        <v>1.0000000000310334</v>
      </c>
      <c r="O13" s="56">
        <f t="shared" si="4"/>
        <v>6.0723820673435061</v>
      </c>
      <c r="P13" s="56">
        <f t="shared" si="5"/>
        <v>0.2884103017105703</v>
      </c>
      <c r="Q13" s="56">
        <f t="shared" si="11"/>
        <v>30.270209218880925</v>
      </c>
      <c r="R13" s="56">
        <f t="shared" si="12"/>
        <v>29.069553952484469</v>
      </c>
      <c r="S13" s="56">
        <v>0</v>
      </c>
      <c r="T13" s="52">
        <f t="shared" si="6"/>
        <v>225.58001293999635</v>
      </c>
      <c r="U13" s="52">
        <f t="shared" si="13"/>
        <v>4112.7424964535803</v>
      </c>
      <c r="V13" s="64">
        <f t="shared" si="7"/>
        <v>1.3087992556393147E-7</v>
      </c>
      <c r="W13" s="37"/>
      <c r="X13" s="37"/>
      <c r="Y13" s="37"/>
      <c r="Z13" s="37"/>
      <c r="AA13" s="37"/>
    </row>
    <row r="14" spans="1:27" ht="24.95" customHeight="1" x14ac:dyDescent="0.35">
      <c r="A14" s="48">
        <v>7</v>
      </c>
      <c r="B14" s="65"/>
      <c r="C14" s="66"/>
      <c r="D14" s="67">
        <f t="shared" si="8"/>
        <v>0</v>
      </c>
      <c r="E14" s="49"/>
      <c r="F14" s="49"/>
      <c r="G14" s="52">
        <f t="shared" si="9"/>
        <v>190.44288625424662</v>
      </c>
      <c r="H14" s="53">
        <f t="shared" si="2"/>
        <v>9.0762457311497208E-2</v>
      </c>
      <c r="I14" s="63">
        <v>139.78417040100743</v>
      </c>
      <c r="J14" s="53">
        <f t="shared" si="10"/>
        <v>0.20916902790675618</v>
      </c>
      <c r="K14" s="63">
        <v>73.099088516432374</v>
      </c>
      <c r="L14" s="53">
        <f t="shared" si="0"/>
        <v>2.304576518778982</v>
      </c>
      <c r="M14" s="53">
        <f t="shared" si="1"/>
        <v>0.86977377744820972</v>
      </c>
      <c r="N14" s="55">
        <f t="shared" si="3"/>
        <v>0.99999999999003986</v>
      </c>
      <c r="O14" s="56">
        <f t="shared" si="4"/>
        <v>6.6371874697318054</v>
      </c>
      <c r="P14" s="56">
        <f t="shared" si="5"/>
        <v>0.94287084610432359</v>
      </c>
      <c r="Q14" s="56">
        <f t="shared" si="11"/>
        <v>30.688501043782754</v>
      </c>
      <c r="R14" s="56">
        <f t="shared" si="12"/>
        <v>29.570242455636613</v>
      </c>
      <c r="S14" s="56">
        <v>0</v>
      </c>
      <c r="T14" s="52">
        <f t="shared" si="6"/>
        <v>277.98967447425548</v>
      </c>
      <c r="U14" s="52">
        <f t="shared" si="13"/>
        <v>4166.1480352384433</v>
      </c>
      <c r="V14" s="64">
        <f t="shared" si="7"/>
        <v>-1.4124452718533576E-9</v>
      </c>
      <c r="W14" s="37"/>
      <c r="X14" s="37"/>
      <c r="Y14" s="37"/>
      <c r="Z14" s="37"/>
      <c r="AA14" s="37"/>
    </row>
    <row r="15" spans="1:27" ht="24.95" customHeight="1" x14ac:dyDescent="0.35">
      <c r="A15" s="48">
        <v>8</v>
      </c>
      <c r="B15" s="65"/>
      <c r="C15" s="66"/>
      <c r="D15" s="67">
        <f>+B15*C15</f>
        <v>0</v>
      </c>
      <c r="E15" s="49"/>
      <c r="F15" s="49"/>
      <c r="G15" s="52">
        <f>+I16+G14+B15-I15</f>
        <v>191.09854823718288</v>
      </c>
      <c r="H15" s="53">
        <f t="shared" si="2"/>
        <v>4.9760864357170663E-2</v>
      </c>
      <c r="I15" s="63">
        <v>140.44288625424664</v>
      </c>
      <c r="J15" s="53">
        <f t="shared" si="10"/>
        <v>0.12094626391940601</v>
      </c>
      <c r="K15" s="63">
        <v>75.134723073490051</v>
      </c>
      <c r="L15" s="53">
        <f t="shared" si="0"/>
        <v>2.4305499006465179</v>
      </c>
      <c r="M15" s="53">
        <f t="shared" si="1"/>
        <v>0.92508685775068911</v>
      </c>
      <c r="N15" s="55">
        <f t="shared" si="3"/>
        <v>0.99999999997517874</v>
      </c>
      <c r="O15" s="56">
        <f t="shared" si="4"/>
        <v>7.0194272513748341</v>
      </c>
      <c r="P15" s="56">
        <f t="shared" si="5"/>
        <v>1.383178600795899</v>
      </c>
      <c r="Q15" s="56">
        <f t="shared" si="11"/>
        <v>30.971536519938056</v>
      </c>
      <c r="R15" s="56">
        <f t="shared" si="12"/>
        <v>29.909025283579844</v>
      </c>
      <c r="S15" s="56">
        <v>0</v>
      </c>
      <c r="T15" s="52">
        <f t="shared" si="6"/>
        <v>317.91980133289451</v>
      </c>
      <c r="U15" s="52">
        <f t="shared" si="13"/>
        <v>4218.5576967741144</v>
      </c>
      <c r="V15" s="64">
        <f t="shared" si="7"/>
        <v>-7.9965502663981169E-8</v>
      </c>
      <c r="W15" s="37"/>
      <c r="X15" s="37"/>
      <c r="Y15" s="37"/>
      <c r="Z15" s="37"/>
      <c r="AA15" s="37"/>
    </row>
    <row r="16" spans="1:27" ht="24.95" customHeight="1" x14ac:dyDescent="0.35">
      <c r="A16" s="48">
        <v>9</v>
      </c>
      <c r="B16" s="65"/>
      <c r="C16" s="66"/>
      <c r="D16" s="67">
        <f t="shared" si="8"/>
        <v>0</v>
      </c>
      <c r="E16" s="49"/>
      <c r="F16" s="49"/>
      <c r="G16" s="52">
        <f t="shared" si="9"/>
        <v>191.56926128980669</v>
      </c>
      <c r="H16" s="53">
        <f t="shared" si="2"/>
        <v>2.6017801558342775E-2</v>
      </c>
      <c r="I16" s="63">
        <v>141.09854823718288</v>
      </c>
      <c r="J16" s="53">
        <f>+(I15*J15+G15*H15-B15*C15-G14*H14)/I16</f>
        <v>6.527499471348519E-2</v>
      </c>
      <c r="K16" s="63">
        <v>76.360604500100976</v>
      </c>
      <c r="L16" s="53">
        <f t="shared" si="0"/>
        <v>2.5088589659318985</v>
      </c>
      <c r="M16" s="53">
        <f t="shared" si="1"/>
        <v>0.95969413691473726</v>
      </c>
      <c r="N16" s="55">
        <f t="shared" si="3"/>
        <v>0.99999999998200495</v>
      </c>
      <c r="O16" s="56">
        <f t="shared" si="4"/>
        <v>7.2504894484008844</v>
      </c>
      <c r="P16" s="56">
        <f t="shared" si="5"/>
        <v>1.6483367533718423</v>
      </c>
      <c r="Q16" s="56">
        <f t="shared" si="11"/>
        <v>31.142609660849587</v>
      </c>
      <c r="R16" s="56">
        <f t="shared" si="12"/>
        <v>30.113790991454174</v>
      </c>
      <c r="S16" s="56">
        <v>0</v>
      </c>
      <c r="T16" s="52">
        <f t="shared" si="6"/>
        <v>343.69296542611158</v>
      </c>
      <c r="U16" s="52">
        <f t="shared" si="13"/>
        <v>4258.4878237127186</v>
      </c>
      <c r="V16" s="64">
        <f t="shared" si="7"/>
        <v>-4.8405127017758787E-8</v>
      </c>
      <c r="W16" s="37"/>
      <c r="X16" s="37"/>
      <c r="Y16" s="37"/>
      <c r="Z16" s="37"/>
      <c r="AA16" s="37"/>
    </row>
    <row r="17" spans="1:27" ht="24.95" customHeight="1" thickBot="1" x14ac:dyDescent="0.4">
      <c r="A17" s="48">
        <v>10</v>
      </c>
      <c r="B17" s="68"/>
      <c r="C17" s="69"/>
      <c r="D17" s="70">
        <f t="shared" si="8"/>
        <v>0</v>
      </c>
      <c r="E17" s="49"/>
      <c r="F17" s="49"/>
      <c r="G17" s="52">
        <f t="shared" si="9"/>
        <v>191.857980013695</v>
      </c>
      <c r="H17" s="53">
        <f t="shared" si="2"/>
        <v>1.2959331809509492E-2</v>
      </c>
      <c r="I17" s="63">
        <v>141.56926128980672</v>
      </c>
      <c r="J17" s="53">
        <f t="shared" si="10"/>
        <v>3.3094677720365444E-2</v>
      </c>
      <c r="K17" s="63">
        <v>77.050234321791862</v>
      </c>
      <c r="L17" s="53">
        <f t="shared" si="0"/>
        <v>2.5537333411033383</v>
      </c>
      <c r="M17" s="53">
        <f t="shared" si="1"/>
        <v>0.97960028745461036</v>
      </c>
      <c r="N17" s="55">
        <f t="shared" si="3"/>
        <v>0.99999999999064859</v>
      </c>
      <c r="O17" s="56">
        <f t="shared" si="4"/>
        <v>7.3807639196614545</v>
      </c>
      <c r="P17" s="56">
        <f t="shared" si="5"/>
        <v>1.7975036838035807</v>
      </c>
      <c r="Q17" s="56">
        <f t="shared" si="11"/>
        <v>31.239054821845173</v>
      </c>
      <c r="R17" s="56">
        <f t="shared" si="12"/>
        <v>30.229230052374124</v>
      </c>
      <c r="S17" s="56">
        <v>0</v>
      </c>
      <c r="T17" s="52">
        <f t="shared" si="6"/>
        <v>358.74737175915641</v>
      </c>
      <c r="U17" s="52">
        <f t="shared" si="13"/>
        <v>4284.2609878543408</v>
      </c>
      <c r="V17" s="64">
        <f t="shared" si="7"/>
        <v>-4.5092747313901782E-9</v>
      </c>
      <c r="W17" s="37"/>
      <c r="X17" s="37"/>
      <c r="Y17" s="37"/>
      <c r="Z17" s="37"/>
      <c r="AA17" s="37"/>
    </row>
    <row r="18" spans="1:27" ht="24.95" customHeight="1" thickTop="1" thickBot="1" x14ac:dyDescent="0.4">
      <c r="A18" s="48" t="s">
        <v>14</v>
      </c>
      <c r="B18" s="49"/>
      <c r="C18" s="49"/>
      <c r="D18" s="49"/>
      <c r="E18" s="49"/>
      <c r="F18" s="49"/>
      <c r="G18" s="52">
        <f t="shared" si="9"/>
        <v>49.999999999999972</v>
      </c>
      <c r="H18" s="53">
        <f t="shared" si="2"/>
        <v>5.98043895116306E-3</v>
      </c>
      <c r="I18" s="71">
        <v>141.85798001369503</v>
      </c>
      <c r="J18" s="53">
        <f t="shared" si="10"/>
        <v>1.5419148613764292E-2</v>
      </c>
      <c r="K18" s="71">
        <v>77.423395421950318</v>
      </c>
      <c r="L18" s="53">
        <f t="shared" si="0"/>
        <v>2.5782636926283842</v>
      </c>
      <c r="M18" s="53">
        <f t="shared" si="1"/>
        <v>0.99050450310207494</v>
      </c>
      <c r="N18" s="55">
        <f t="shared" si="3"/>
        <v>0.99999999999577471</v>
      </c>
      <c r="O18" s="56">
        <f t="shared" si="4"/>
        <v>7.4513425058632272</v>
      </c>
      <c r="P18" s="56">
        <f t="shared" si="5"/>
        <v>1.8782184297678548</v>
      </c>
      <c r="Q18" s="56">
        <f t="shared" si="11"/>
        <v>31.291303587669379</v>
      </c>
      <c r="R18" s="56">
        <f t="shared" si="12"/>
        <v>30.291768438282602</v>
      </c>
      <c r="S18" s="56">
        <v>0</v>
      </c>
      <c r="T18" s="52">
        <f t="shared" si="6"/>
        <v>95.577407903609952</v>
      </c>
      <c r="U18" s="52">
        <f t="shared" si="13"/>
        <v>4299.3153941918954</v>
      </c>
      <c r="V18" s="59">
        <f>+T18+U18-T17</f>
        <v>4036.1454303363489</v>
      </c>
      <c r="W18" s="37"/>
      <c r="X18" s="37"/>
      <c r="Y18" s="37"/>
      <c r="Z18" s="37"/>
      <c r="AA18" s="37"/>
    </row>
    <row r="19" spans="1:27" ht="24.95" customHeight="1" thickTop="1" x14ac:dyDescent="0.45">
      <c r="A19" s="48" t="s">
        <v>88</v>
      </c>
      <c r="B19" s="49">
        <f>+SUM(B8:B17)</f>
        <v>100</v>
      </c>
      <c r="C19" s="49">
        <f>+SUM(C8:C17)</f>
        <v>0.45</v>
      </c>
      <c r="D19" s="49"/>
      <c r="E19" s="49"/>
      <c r="F19" s="49"/>
      <c r="G19" s="72" t="s">
        <v>101</v>
      </c>
      <c r="H19" s="53">
        <f>+(SUM(D7:D17)-E7*F7)/G18</f>
        <v>5.9804389484031653E-3</v>
      </c>
      <c r="I19" s="73"/>
      <c r="J19" s="73"/>
      <c r="K19" s="49"/>
      <c r="L19" s="49"/>
      <c r="M19" s="49"/>
      <c r="N19" s="49"/>
      <c r="O19" s="73"/>
      <c r="P19" s="74"/>
      <c r="Q19" s="74"/>
      <c r="R19" s="74"/>
      <c r="S19" s="74"/>
      <c r="T19" s="74"/>
      <c r="U19" s="74"/>
      <c r="V19" s="75"/>
      <c r="W19" s="37"/>
      <c r="X19" s="37"/>
      <c r="Y19" s="37"/>
      <c r="Z19" s="37"/>
      <c r="AA19" s="37"/>
    </row>
    <row r="20" spans="1:27" ht="24.95" customHeight="1" thickBot="1" x14ac:dyDescent="0.4">
      <c r="A20" s="76"/>
      <c r="B20" s="77"/>
      <c r="C20" s="77"/>
      <c r="D20" s="77"/>
      <c r="E20" s="77"/>
      <c r="F20" s="77"/>
      <c r="G20" s="78" t="s">
        <v>165</v>
      </c>
      <c r="H20" s="217">
        <f>+H18-H19</f>
        <v>2.7598947432982968E-12</v>
      </c>
      <c r="I20" s="80"/>
      <c r="J20" s="80"/>
      <c r="K20" s="77"/>
      <c r="L20" s="77"/>
      <c r="M20" s="77"/>
      <c r="N20" s="77"/>
      <c r="O20" s="80"/>
      <c r="P20" s="81"/>
      <c r="Q20" s="81"/>
      <c r="R20" s="81"/>
      <c r="S20" s="81"/>
      <c r="T20" s="81"/>
      <c r="U20" s="81"/>
      <c r="V20" s="82"/>
      <c r="W20" s="37"/>
      <c r="X20" s="37"/>
      <c r="Y20" s="37"/>
      <c r="Z20" s="37"/>
      <c r="AA20" s="37"/>
    </row>
    <row r="21" spans="1:27" ht="24.95" customHeight="1" thickTop="1" thickBot="1" x14ac:dyDescent="0.4">
      <c r="A21" s="83"/>
      <c r="B21" s="83"/>
      <c r="C21" s="83"/>
      <c r="D21" s="83"/>
      <c r="E21" s="83"/>
      <c r="F21" s="83"/>
      <c r="G21" s="84"/>
      <c r="H21" s="85"/>
      <c r="I21" s="86"/>
      <c r="J21" s="86"/>
      <c r="K21" s="83"/>
      <c r="L21" s="83"/>
      <c r="M21" s="83"/>
      <c r="N21" s="83"/>
      <c r="O21" s="33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</row>
    <row r="22" spans="1:27" ht="24.95" customHeight="1" thickTop="1" x14ac:dyDescent="0.55000000000000004">
      <c r="A22" s="87" t="s">
        <v>5</v>
      </c>
      <c r="B22" s="88"/>
      <c r="C22" s="88"/>
      <c r="D22" s="89"/>
      <c r="E22" s="262" t="s">
        <v>102</v>
      </c>
      <c r="F22" s="263"/>
      <c r="G22" s="263"/>
      <c r="H22" s="264"/>
      <c r="I22" s="262" t="s">
        <v>103</v>
      </c>
      <c r="J22" s="264"/>
      <c r="K22" s="90" t="s">
        <v>104</v>
      </c>
      <c r="L22" s="90" t="s">
        <v>105</v>
      </c>
      <c r="M22" s="90" t="s">
        <v>65</v>
      </c>
      <c r="N22" s="90" t="s">
        <v>106</v>
      </c>
      <c r="O22" s="91" t="s">
        <v>66</v>
      </c>
      <c r="Q22" s="226" t="s">
        <v>111</v>
      </c>
      <c r="R22" s="88"/>
      <c r="S22" s="227"/>
      <c r="T22" s="228"/>
      <c r="U22" s="144"/>
      <c r="V22" s="144"/>
      <c r="W22" s="227"/>
      <c r="X22" s="229"/>
      <c r="Y22" s="33"/>
      <c r="Z22" s="33"/>
      <c r="AA22" s="37"/>
    </row>
    <row r="23" spans="1:27" ht="24.95" customHeight="1" x14ac:dyDescent="0.4">
      <c r="A23" s="95"/>
      <c r="B23" s="96" t="s">
        <v>8</v>
      </c>
      <c r="C23" s="96" t="s">
        <v>9</v>
      </c>
      <c r="D23" s="97" t="s">
        <v>10</v>
      </c>
      <c r="E23" s="98" t="s">
        <v>67</v>
      </c>
      <c r="F23" s="98" t="s">
        <v>68</v>
      </c>
      <c r="G23" s="98" t="s">
        <v>69</v>
      </c>
      <c r="H23" s="98" t="s">
        <v>70</v>
      </c>
      <c r="I23" s="99" t="s">
        <v>67</v>
      </c>
      <c r="J23" s="100" t="s">
        <v>68</v>
      </c>
      <c r="K23" s="98"/>
      <c r="L23" s="98"/>
      <c r="M23" s="98"/>
      <c r="N23" s="101"/>
      <c r="O23" s="102"/>
      <c r="Q23" s="230" t="s">
        <v>108</v>
      </c>
      <c r="R23" s="132"/>
      <c r="S23" s="207"/>
      <c r="T23" s="208"/>
      <c r="U23" s="96"/>
      <c r="V23" s="225"/>
      <c r="W23" s="207"/>
      <c r="X23" s="231"/>
      <c r="Y23" s="33"/>
      <c r="Z23" s="33"/>
      <c r="AA23" s="37"/>
    </row>
    <row r="24" spans="1:27" ht="24.95" customHeight="1" thickBot="1" x14ac:dyDescent="0.6">
      <c r="A24" s="95" t="s">
        <v>167</v>
      </c>
      <c r="B24" s="96">
        <v>6.8447100000000001</v>
      </c>
      <c r="C24" s="96">
        <v>1060.7929999999999</v>
      </c>
      <c r="D24" s="97">
        <v>231.541</v>
      </c>
      <c r="E24" s="103">
        <v>0.1148</v>
      </c>
      <c r="F24" s="103">
        <v>3.4089999999999999E-4</v>
      </c>
      <c r="G24" s="103">
        <v>-1.899E-7</v>
      </c>
      <c r="H24" s="103">
        <v>4.2259999999999998E-11</v>
      </c>
      <c r="I24" s="104">
        <v>0.15540000000000001</v>
      </c>
      <c r="J24" s="105">
        <v>4.3679999999999999E-4</v>
      </c>
      <c r="K24" s="106">
        <v>36.07</v>
      </c>
      <c r="L24" s="107">
        <v>25.77</v>
      </c>
      <c r="M24" s="106">
        <v>72.150000000000006</v>
      </c>
      <c r="N24" s="98">
        <v>630</v>
      </c>
      <c r="O24" s="108">
        <f>+M24/N24</f>
        <v>0.11452380952380953</v>
      </c>
      <c r="Q24" s="232" t="s">
        <v>110</v>
      </c>
      <c r="R24" s="233"/>
      <c r="S24" s="234"/>
      <c r="T24" s="235"/>
      <c r="U24" s="111"/>
      <c r="V24" s="236"/>
      <c r="W24" s="237"/>
      <c r="X24" s="134"/>
      <c r="Y24" s="33"/>
      <c r="Z24" s="33"/>
      <c r="AA24" s="37"/>
    </row>
    <row r="25" spans="1:27" ht="24.95" customHeight="1" thickTop="1" thickBot="1" x14ac:dyDescent="0.4">
      <c r="A25" s="110" t="s">
        <v>168</v>
      </c>
      <c r="B25" s="111">
        <v>6.8855500000000003</v>
      </c>
      <c r="C25" s="111">
        <v>1175.817</v>
      </c>
      <c r="D25" s="112">
        <v>224.86699999999999</v>
      </c>
      <c r="E25" s="113">
        <v>0.13744000000000001</v>
      </c>
      <c r="F25" s="113">
        <v>4.0850000000000001E-4</v>
      </c>
      <c r="G25" s="113">
        <v>-2.3920000000000002E-7</v>
      </c>
      <c r="H25" s="113">
        <v>5.7659999999999998E-11</v>
      </c>
      <c r="I25" s="114">
        <v>0.21629999999999999</v>
      </c>
      <c r="J25" s="115"/>
      <c r="K25" s="116">
        <v>68.739999999999995</v>
      </c>
      <c r="L25" s="117">
        <v>28.85</v>
      </c>
      <c r="M25" s="116">
        <v>86.17</v>
      </c>
      <c r="N25" s="118">
        <v>659</v>
      </c>
      <c r="O25" s="119">
        <f>+M25/N25</f>
        <v>0.13075872534142641</v>
      </c>
      <c r="P25" s="33"/>
      <c r="Q25" s="83"/>
      <c r="R25" s="109"/>
      <c r="S25" s="92"/>
      <c r="T25" s="93"/>
      <c r="U25" s="94"/>
      <c r="V25" s="94"/>
      <c r="W25" s="93"/>
      <c r="X25" s="33"/>
      <c r="Y25" s="33"/>
      <c r="Z25" s="33"/>
      <c r="AA25" s="37"/>
    </row>
    <row r="26" spans="1:27" ht="24.95" customHeight="1" thickTop="1" thickBot="1" x14ac:dyDescent="0.4">
      <c r="A26" s="33"/>
      <c r="B26" s="33"/>
      <c r="C26" s="33"/>
      <c r="D26" s="33"/>
      <c r="E26" s="33"/>
      <c r="F26" s="33"/>
      <c r="G26" s="33"/>
      <c r="H26" s="33"/>
      <c r="I26" s="33"/>
      <c r="J26" s="92"/>
      <c r="K26" s="33"/>
      <c r="L26" s="33"/>
      <c r="M26" s="33"/>
      <c r="N26" s="33"/>
      <c r="O26" s="33"/>
      <c r="P26" s="33"/>
      <c r="Q26" s="83"/>
      <c r="R26" s="120"/>
      <c r="S26" s="92"/>
      <c r="T26" s="93"/>
      <c r="U26" s="94"/>
      <c r="V26" s="94"/>
      <c r="W26" s="93"/>
      <c r="X26" s="33"/>
      <c r="Y26" s="33"/>
      <c r="Z26" s="33"/>
      <c r="AA26" s="37"/>
    </row>
    <row r="27" spans="1:27" ht="24.95" customHeight="1" thickTop="1" x14ac:dyDescent="0.35">
      <c r="A27" s="87" t="s">
        <v>17</v>
      </c>
      <c r="B27" s="88"/>
      <c r="C27" s="121"/>
      <c r="D27" s="33"/>
      <c r="E27" s="260" t="s">
        <v>36</v>
      </c>
      <c r="F27" s="261"/>
      <c r="G27" s="33"/>
      <c r="H27" s="87" t="s">
        <v>2</v>
      </c>
      <c r="I27" s="88"/>
      <c r="J27" s="88"/>
      <c r="K27" s="88"/>
      <c r="L27" s="88"/>
      <c r="M27" s="89"/>
      <c r="N27" s="33"/>
      <c r="O27" s="33"/>
      <c r="P27" s="33"/>
      <c r="Q27" s="83"/>
      <c r="R27" s="122"/>
      <c r="S27" s="92"/>
      <c r="T27" s="93"/>
      <c r="U27" s="94"/>
      <c r="V27" s="94"/>
      <c r="W27" s="93"/>
      <c r="X27" s="33"/>
      <c r="Y27" s="33"/>
      <c r="Z27" s="33"/>
      <c r="AA27" s="37"/>
    </row>
    <row r="28" spans="1:27" ht="24.95" customHeight="1" x14ac:dyDescent="0.35">
      <c r="A28" s="123" t="s">
        <v>18</v>
      </c>
      <c r="B28" s="96" t="s">
        <v>34</v>
      </c>
      <c r="C28" s="97" t="s">
        <v>33</v>
      </c>
      <c r="D28" s="93"/>
      <c r="E28" s="123" t="s">
        <v>3</v>
      </c>
      <c r="F28" s="97" t="s">
        <v>4</v>
      </c>
      <c r="G28" s="33"/>
      <c r="H28" s="123" t="s">
        <v>1</v>
      </c>
      <c r="I28" s="96" t="s">
        <v>19</v>
      </c>
      <c r="J28" s="96" t="s">
        <v>20</v>
      </c>
      <c r="K28" s="96" t="s">
        <v>1</v>
      </c>
      <c r="L28" s="96" t="s">
        <v>12</v>
      </c>
      <c r="M28" s="97" t="s">
        <v>1</v>
      </c>
      <c r="N28" s="33"/>
      <c r="O28" s="33"/>
      <c r="P28" s="33"/>
      <c r="Q28" s="33"/>
      <c r="R28" s="33"/>
      <c r="S28" s="92"/>
      <c r="T28" s="93"/>
      <c r="U28" s="94"/>
      <c r="V28" s="94"/>
      <c r="W28" s="93"/>
      <c r="X28" s="33"/>
      <c r="Y28" s="33"/>
      <c r="Z28" s="33"/>
      <c r="AA28" s="37"/>
    </row>
    <row r="29" spans="1:27" ht="24.95" customHeight="1" x14ac:dyDescent="0.35">
      <c r="A29" s="123">
        <v>0</v>
      </c>
      <c r="B29" s="124">
        <f>+($B$3/($B$3+1))*A29+(1/(1+$B$3))*$F$7</f>
        <v>0.29800652035053227</v>
      </c>
      <c r="C29" s="125">
        <f>+($G$17/$I$18)*A29-($G$18/$I$18)*$H$18</f>
        <v>-2.1078965563254542E-3</v>
      </c>
      <c r="D29" s="94"/>
      <c r="E29" s="126">
        <f>+H7</f>
        <v>0.89401956105159686</v>
      </c>
      <c r="F29" s="125">
        <f>+J8</f>
        <v>0.89401956105159686</v>
      </c>
      <c r="G29" s="33"/>
      <c r="H29" s="127" t="s">
        <v>21</v>
      </c>
      <c r="I29" s="128">
        <f t="shared" ref="I29:I40" si="14">+G7</f>
        <v>100</v>
      </c>
      <c r="J29" s="128"/>
      <c r="K29" s="129" t="s">
        <v>21</v>
      </c>
      <c r="L29" s="130">
        <f t="shared" ref="L29:L40" si="15">+K7</f>
        <v>46.669721725926522</v>
      </c>
      <c r="M29" s="131" t="s">
        <v>21</v>
      </c>
      <c r="N29" s="33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</row>
    <row r="30" spans="1:27" ht="24.95" customHeight="1" x14ac:dyDescent="0.35">
      <c r="A30" s="123">
        <v>0.1</v>
      </c>
      <c r="B30" s="124">
        <f t="shared" ref="B30:B39" si="16">+($B$3/($B$3+1))*A30+(1/(1+$B$3))*$F$7</f>
        <v>0.36467318701719892</v>
      </c>
      <c r="C30" s="125">
        <f t="shared" ref="C30:C39" si="17">+($G$17/$I$18)*A30-($G$18/$I$18)*$H$18</f>
        <v>0.13313862252929309</v>
      </c>
      <c r="D30" s="33"/>
      <c r="E30" s="126">
        <f>+H8</f>
        <v>0.74152536042767381</v>
      </c>
      <c r="F30" s="125">
        <f>+J8</f>
        <v>0.89401956105159686</v>
      </c>
      <c r="G30" s="33"/>
      <c r="H30" s="127" t="s">
        <v>22</v>
      </c>
      <c r="I30" s="128">
        <f t="shared" si="14"/>
        <v>96.229588106479611</v>
      </c>
      <c r="J30" s="128">
        <f t="shared" ref="J30:J40" si="18">+I8</f>
        <v>150</v>
      </c>
      <c r="K30" s="129" t="s">
        <v>22</v>
      </c>
      <c r="L30" s="130">
        <f t="shared" si="15"/>
        <v>50.32324978104203</v>
      </c>
      <c r="M30" s="131" t="s">
        <v>22</v>
      </c>
      <c r="N30" s="33"/>
      <c r="O30" s="86"/>
      <c r="P30" s="239"/>
      <c r="Q30" s="239"/>
      <c r="R30" s="239"/>
      <c r="S30" s="239"/>
      <c r="T30" s="239"/>
      <c r="U30" s="239"/>
      <c r="V30" s="239"/>
      <c r="W30" s="239"/>
      <c r="X30" s="239"/>
      <c r="Y30" s="239"/>
      <c r="Z30" s="239"/>
      <c r="AA30" s="239"/>
    </row>
    <row r="31" spans="1:27" ht="24.95" customHeight="1" x14ac:dyDescent="0.35">
      <c r="A31" s="123">
        <v>0.2</v>
      </c>
      <c r="B31" s="124">
        <f t="shared" si="16"/>
        <v>0.43133985368386563</v>
      </c>
      <c r="C31" s="125">
        <f t="shared" si="17"/>
        <v>0.26838514161491167</v>
      </c>
      <c r="D31" s="33"/>
      <c r="E31" s="126">
        <f>+H8</f>
        <v>0.74152536042767381</v>
      </c>
      <c r="F31" s="125">
        <f>+J9</f>
        <v>0.7936674072591543</v>
      </c>
      <c r="G31" s="33"/>
      <c r="H31" s="127" t="s">
        <v>23</v>
      </c>
      <c r="I31" s="128">
        <f t="shared" si="14"/>
        <v>93.260361316850265</v>
      </c>
      <c r="J31" s="128">
        <f t="shared" si="18"/>
        <v>146.22958810647961</v>
      </c>
      <c r="K31" s="129" t="s">
        <v>23</v>
      </c>
      <c r="L31" s="130">
        <f t="shared" si="15"/>
        <v>54.949714133776631</v>
      </c>
      <c r="M31" s="131" t="s">
        <v>23</v>
      </c>
      <c r="N31" s="33"/>
      <c r="O31" s="86"/>
      <c r="P31" s="86"/>
      <c r="Q31" s="86"/>
      <c r="R31" s="86"/>
      <c r="S31" s="85"/>
      <c r="T31" s="85"/>
      <c r="U31" s="86"/>
      <c r="V31" s="86"/>
      <c r="W31" s="86"/>
      <c r="X31" s="86"/>
      <c r="Y31" s="86"/>
      <c r="Z31" s="86"/>
      <c r="AA31" s="239"/>
    </row>
    <row r="32" spans="1:27" ht="24.95" customHeight="1" x14ac:dyDescent="0.35">
      <c r="A32" s="123">
        <v>0.3</v>
      </c>
      <c r="B32" s="124">
        <f t="shared" si="16"/>
        <v>0.49800652035053228</v>
      </c>
      <c r="C32" s="125">
        <f t="shared" si="17"/>
        <v>0.40363166070053025</v>
      </c>
      <c r="D32" s="33"/>
      <c r="E32" s="126">
        <f>+H9</f>
        <v>0.57232395543129488</v>
      </c>
      <c r="F32" s="125">
        <f>+J9</f>
        <v>0.7936674072591543</v>
      </c>
      <c r="G32" s="33"/>
      <c r="H32" s="127" t="s">
        <v>24</v>
      </c>
      <c r="I32" s="128">
        <f t="shared" si="14"/>
        <v>91.660059191496003</v>
      </c>
      <c r="J32" s="128">
        <f t="shared" si="18"/>
        <v>143.26036131685026</v>
      </c>
      <c r="K32" s="129" t="s">
        <v>24</v>
      </c>
      <c r="L32" s="130">
        <f t="shared" si="15"/>
        <v>59.246215560481538</v>
      </c>
      <c r="M32" s="131" t="s">
        <v>24</v>
      </c>
      <c r="N32" s="33"/>
      <c r="O32" s="259"/>
      <c r="P32" s="243"/>
      <c r="Q32" s="243"/>
      <c r="R32" s="243"/>
      <c r="S32" s="243"/>
      <c r="T32" s="243"/>
      <c r="U32" s="243"/>
      <c r="V32" s="259"/>
      <c r="W32" s="259"/>
      <c r="X32" s="259"/>
      <c r="Y32" s="259"/>
      <c r="Z32" s="259"/>
      <c r="AA32" s="239"/>
    </row>
    <row r="33" spans="1:27" ht="24.95" customHeight="1" x14ac:dyDescent="0.35">
      <c r="A33" s="123">
        <v>0.4</v>
      </c>
      <c r="B33" s="124">
        <f t="shared" si="16"/>
        <v>0.56467318701719893</v>
      </c>
      <c r="C33" s="125">
        <f t="shared" si="17"/>
        <v>0.53887817978614871</v>
      </c>
      <c r="D33" s="33"/>
      <c r="E33" s="126">
        <f>+H9</f>
        <v>0.57232395543129488</v>
      </c>
      <c r="F33" s="125">
        <f>+J10</f>
        <v>0.68460051353266849</v>
      </c>
      <c r="G33" s="33"/>
      <c r="H33" s="127" t="s">
        <v>25</v>
      </c>
      <c r="I33" s="128">
        <f t="shared" si="14"/>
        <v>190.24282627501881</v>
      </c>
      <c r="J33" s="128">
        <f t="shared" si="18"/>
        <v>141.660059191496</v>
      </c>
      <c r="K33" s="129" t="s">
        <v>25</v>
      </c>
      <c r="L33" s="130">
        <f t="shared" si="15"/>
        <v>62.290917519140841</v>
      </c>
      <c r="M33" s="131" t="s">
        <v>25</v>
      </c>
      <c r="N33" s="33"/>
      <c r="O33" s="239"/>
      <c r="P33" s="243"/>
      <c r="Q33" s="243"/>
      <c r="R33" s="259"/>
      <c r="S33" s="259"/>
      <c r="T33" s="259"/>
      <c r="U33" s="259"/>
      <c r="V33" s="259"/>
      <c r="W33" s="259"/>
      <c r="X33" s="259"/>
      <c r="Y33" s="259"/>
      <c r="Z33" s="259"/>
      <c r="AA33" s="239"/>
    </row>
    <row r="34" spans="1:27" ht="24.95" customHeight="1" x14ac:dyDescent="0.35">
      <c r="A34" s="123">
        <v>0.5</v>
      </c>
      <c r="B34" s="124">
        <f t="shared" si="16"/>
        <v>0.63133985368386558</v>
      </c>
      <c r="C34" s="125">
        <f t="shared" si="17"/>
        <v>0.67412469887176729</v>
      </c>
      <c r="D34" s="33"/>
      <c r="E34" s="126">
        <f>+H10</f>
        <v>0.43524268093396012</v>
      </c>
      <c r="F34" s="125">
        <f>+J10</f>
        <v>0.68460051353266849</v>
      </c>
      <c r="G34" s="33"/>
      <c r="H34" s="127" t="s">
        <v>26</v>
      </c>
      <c r="I34" s="128">
        <f t="shared" si="14"/>
        <v>189.57150290910673</v>
      </c>
      <c r="J34" s="128">
        <f t="shared" si="18"/>
        <v>140.24282627501881</v>
      </c>
      <c r="K34" s="129" t="s">
        <v>26</v>
      </c>
      <c r="L34" s="130">
        <f t="shared" si="15"/>
        <v>66.245878439840155</v>
      </c>
      <c r="M34" s="131" t="s">
        <v>26</v>
      </c>
      <c r="N34" s="33"/>
      <c r="O34" s="259"/>
      <c r="P34" s="243"/>
      <c r="Q34" s="243"/>
      <c r="R34" s="244"/>
      <c r="S34" s="244"/>
      <c r="T34" s="259"/>
      <c r="U34" s="245"/>
      <c r="V34" s="259"/>
      <c r="W34" s="245"/>
      <c r="X34" s="259"/>
      <c r="Y34" s="259"/>
      <c r="Z34" s="120"/>
      <c r="AA34" s="239"/>
    </row>
    <row r="35" spans="1:27" ht="24.95" customHeight="1" x14ac:dyDescent="0.35">
      <c r="A35" s="123">
        <v>0.6</v>
      </c>
      <c r="B35" s="124">
        <f t="shared" si="16"/>
        <v>0.69800652035053223</v>
      </c>
      <c r="C35" s="125">
        <f t="shared" si="17"/>
        <v>0.80937121795738587</v>
      </c>
      <c r="D35" s="33"/>
      <c r="E35" s="126">
        <f>+H10</f>
        <v>0.43524268093396012</v>
      </c>
      <c r="F35" s="125">
        <f>+J11</f>
        <v>0.59717148526174268</v>
      </c>
      <c r="G35" s="33"/>
      <c r="H35" s="127" t="s">
        <v>27</v>
      </c>
      <c r="I35" s="128">
        <f t="shared" si="14"/>
        <v>189.78417040100743</v>
      </c>
      <c r="J35" s="128">
        <f t="shared" si="18"/>
        <v>139.57150290910675</v>
      </c>
      <c r="K35" s="129" t="s">
        <v>27</v>
      </c>
      <c r="L35" s="130">
        <f t="shared" si="15"/>
        <v>70.073380960289271</v>
      </c>
      <c r="M35" s="131" t="s">
        <v>27</v>
      </c>
      <c r="N35" s="33"/>
      <c r="O35" s="259"/>
      <c r="P35" s="243"/>
      <c r="Q35" s="259"/>
      <c r="R35" s="244"/>
      <c r="S35" s="244"/>
      <c r="T35" s="245"/>
      <c r="U35" s="245"/>
      <c r="V35" s="259"/>
      <c r="W35" s="245"/>
      <c r="X35" s="259"/>
      <c r="Y35" s="245"/>
      <c r="Z35" s="120"/>
      <c r="AA35" s="239"/>
    </row>
    <row r="36" spans="1:27" ht="24.95" customHeight="1" x14ac:dyDescent="0.35">
      <c r="A36" s="123">
        <v>0.7</v>
      </c>
      <c r="B36" s="124">
        <f t="shared" si="16"/>
        <v>0.76467318701719889</v>
      </c>
      <c r="C36" s="125">
        <f t="shared" si="17"/>
        <v>0.94461773704300434</v>
      </c>
      <c r="D36" s="33"/>
      <c r="E36" s="126">
        <f>+H11</f>
        <v>0.34801062555176593</v>
      </c>
      <c r="F36" s="125">
        <f>+J11</f>
        <v>0.59717148526174268</v>
      </c>
      <c r="G36" s="33"/>
      <c r="H36" s="127" t="s">
        <v>28</v>
      </c>
      <c r="I36" s="128">
        <f t="shared" si="14"/>
        <v>190.44288625424662</v>
      </c>
      <c r="J36" s="128">
        <f t="shared" si="18"/>
        <v>139.78417040100743</v>
      </c>
      <c r="K36" s="129" t="s">
        <v>28</v>
      </c>
      <c r="L36" s="130">
        <f t="shared" si="15"/>
        <v>73.099088516432374</v>
      </c>
      <c r="M36" s="131" t="s">
        <v>28</v>
      </c>
      <c r="N36" s="33"/>
      <c r="O36" s="259"/>
      <c r="P36" s="243"/>
      <c r="Q36" s="259"/>
      <c r="R36" s="244"/>
      <c r="S36" s="244"/>
      <c r="T36" s="245"/>
      <c r="U36" s="245"/>
      <c r="V36" s="259"/>
      <c r="W36" s="245"/>
      <c r="X36" s="259"/>
      <c r="Y36" s="245"/>
      <c r="Z36" s="120"/>
      <c r="AA36" s="239"/>
    </row>
    <row r="37" spans="1:27" ht="24.95" customHeight="1" x14ac:dyDescent="0.35">
      <c r="A37" s="123">
        <v>0.8</v>
      </c>
      <c r="B37" s="124">
        <f t="shared" si="16"/>
        <v>0.83133985368386565</v>
      </c>
      <c r="C37" s="125">
        <f t="shared" si="17"/>
        <v>1.0798642561286229</v>
      </c>
      <c r="D37" s="33"/>
      <c r="E37" s="126">
        <f>+H11</f>
        <v>0.34801062555176593</v>
      </c>
      <c r="F37" s="125">
        <f>+J12</f>
        <v>0.46995275823976362</v>
      </c>
      <c r="G37" s="33"/>
      <c r="H37" s="127" t="s">
        <v>29</v>
      </c>
      <c r="I37" s="128">
        <f t="shared" si="14"/>
        <v>191.09854823718288</v>
      </c>
      <c r="J37" s="128">
        <f t="shared" si="18"/>
        <v>140.44288625424664</v>
      </c>
      <c r="K37" s="129" t="s">
        <v>29</v>
      </c>
      <c r="L37" s="130">
        <f t="shared" si="15"/>
        <v>75.134723073490051</v>
      </c>
      <c r="M37" s="131" t="s">
        <v>29</v>
      </c>
      <c r="N37" s="33"/>
      <c r="O37" s="259"/>
      <c r="P37" s="243"/>
      <c r="Q37" s="259"/>
      <c r="R37" s="244"/>
      <c r="S37" s="244"/>
      <c r="T37" s="245"/>
      <c r="U37" s="245"/>
      <c r="V37" s="259"/>
      <c r="W37" s="245"/>
      <c r="X37" s="259"/>
      <c r="Y37" s="245"/>
      <c r="Z37" s="120"/>
      <c r="AA37" s="239"/>
    </row>
    <row r="38" spans="1:27" ht="24.95" customHeight="1" x14ac:dyDescent="0.35">
      <c r="A38" s="123">
        <v>0.9</v>
      </c>
      <c r="B38" s="124">
        <f t="shared" si="16"/>
        <v>0.8980065203505323</v>
      </c>
      <c r="C38" s="125">
        <f t="shared" si="17"/>
        <v>1.2151107752142416</v>
      </c>
      <c r="D38" s="33"/>
      <c r="E38" s="126">
        <f>+H12</f>
        <v>0.24524484408940717</v>
      </c>
      <c r="F38" s="125">
        <f>+J12</f>
        <v>0.46995275823976362</v>
      </c>
      <c r="G38" s="33"/>
      <c r="H38" s="127" t="s">
        <v>30</v>
      </c>
      <c r="I38" s="128">
        <f t="shared" si="14"/>
        <v>191.56926128980669</v>
      </c>
      <c r="J38" s="128">
        <f t="shared" si="18"/>
        <v>141.09854823718288</v>
      </c>
      <c r="K38" s="129" t="s">
        <v>30</v>
      </c>
      <c r="L38" s="130">
        <f t="shared" si="15"/>
        <v>76.360604500100976</v>
      </c>
      <c r="M38" s="131" t="s">
        <v>30</v>
      </c>
      <c r="N38" s="33"/>
      <c r="O38" s="259"/>
      <c r="P38" s="243"/>
      <c r="Q38" s="259"/>
      <c r="R38" s="244"/>
      <c r="S38" s="244"/>
      <c r="T38" s="245"/>
      <c r="U38" s="245"/>
      <c r="V38" s="259"/>
      <c r="W38" s="245"/>
      <c r="X38" s="259"/>
      <c r="Y38" s="245"/>
      <c r="Z38" s="120"/>
      <c r="AA38" s="239"/>
    </row>
    <row r="39" spans="1:27" ht="24.95" customHeight="1" thickBot="1" x14ac:dyDescent="0.4">
      <c r="A39" s="135">
        <v>1</v>
      </c>
      <c r="B39" s="136">
        <f t="shared" si="16"/>
        <v>0.96467318701719895</v>
      </c>
      <c r="C39" s="137">
        <f t="shared" si="17"/>
        <v>1.3503572942998601</v>
      </c>
      <c r="D39" s="33"/>
      <c r="E39" s="126">
        <f>+H12</f>
        <v>0.24524484408940717</v>
      </c>
      <c r="F39" s="125">
        <f>+J13</f>
        <v>0.33095876138412184</v>
      </c>
      <c r="G39" s="33"/>
      <c r="H39" s="127" t="s">
        <v>31</v>
      </c>
      <c r="I39" s="128">
        <f t="shared" si="14"/>
        <v>191.857980013695</v>
      </c>
      <c r="J39" s="128">
        <f t="shared" si="18"/>
        <v>141.56926128980672</v>
      </c>
      <c r="K39" s="129" t="s">
        <v>31</v>
      </c>
      <c r="L39" s="130">
        <f t="shared" si="15"/>
        <v>77.050234321791862</v>
      </c>
      <c r="M39" s="131" t="s">
        <v>31</v>
      </c>
      <c r="N39" s="33"/>
      <c r="O39" s="259"/>
      <c r="P39" s="243"/>
      <c r="Q39" s="259"/>
      <c r="R39" s="244"/>
      <c r="S39" s="244"/>
      <c r="T39" s="245"/>
      <c r="U39" s="245"/>
      <c r="V39" s="259"/>
      <c r="W39" s="245"/>
      <c r="X39" s="259"/>
      <c r="Y39" s="245"/>
      <c r="Z39" s="120"/>
      <c r="AA39" s="239"/>
    </row>
    <row r="40" spans="1:27" ht="24.95" customHeight="1" thickTop="1" thickBot="1" x14ac:dyDescent="0.4">
      <c r="A40" s="33"/>
      <c r="B40" s="33"/>
      <c r="C40" s="33"/>
      <c r="D40" s="33"/>
      <c r="E40" s="126">
        <f>+H13</f>
        <v>0.15563753775954769</v>
      </c>
      <c r="F40" s="125">
        <f>+J13</f>
        <v>0.33095876138412184</v>
      </c>
      <c r="G40" s="33"/>
      <c r="H40" s="138" t="s">
        <v>0</v>
      </c>
      <c r="I40" s="139">
        <f t="shared" si="14"/>
        <v>49.999999999999972</v>
      </c>
      <c r="J40" s="139">
        <f t="shared" si="18"/>
        <v>141.85798001369503</v>
      </c>
      <c r="K40" s="140" t="s">
        <v>0</v>
      </c>
      <c r="L40" s="141">
        <f t="shared" si="15"/>
        <v>77.423395421950318</v>
      </c>
      <c r="M40" s="142" t="s">
        <v>0</v>
      </c>
      <c r="N40" s="33"/>
      <c r="O40" s="259"/>
      <c r="P40" s="243"/>
      <c r="Q40" s="259"/>
      <c r="R40" s="244"/>
      <c r="S40" s="244"/>
      <c r="T40" s="245"/>
      <c r="U40" s="245"/>
      <c r="V40" s="259"/>
      <c r="W40" s="245"/>
      <c r="X40" s="259"/>
      <c r="Y40" s="245"/>
      <c r="Z40" s="120"/>
      <c r="AA40" s="239"/>
    </row>
    <row r="41" spans="1:27" ht="24.95" customHeight="1" thickTop="1" x14ac:dyDescent="0.35">
      <c r="A41" s="143" t="s">
        <v>35</v>
      </c>
      <c r="B41" s="144" t="s">
        <v>3</v>
      </c>
      <c r="C41" s="145" t="s">
        <v>4</v>
      </c>
      <c r="D41" s="33"/>
      <c r="E41" s="126">
        <f>+H13</f>
        <v>0.15563753775954769</v>
      </c>
      <c r="F41" s="125">
        <f>+J14</f>
        <v>0.20916902790675618</v>
      </c>
      <c r="G41" s="33"/>
      <c r="H41" s="33"/>
      <c r="I41" s="33"/>
      <c r="J41" s="33"/>
      <c r="K41" s="33"/>
      <c r="L41" s="33"/>
      <c r="M41" s="33"/>
      <c r="N41" s="33"/>
      <c r="O41" s="259"/>
      <c r="P41" s="243"/>
      <c r="Q41" s="259"/>
      <c r="R41" s="244"/>
      <c r="S41" s="244"/>
      <c r="T41" s="245"/>
      <c r="U41" s="245"/>
      <c r="V41" s="259"/>
      <c r="W41" s="245"/>
      <c r="X41" s="259"/>
      <c r="Y41" s="245"/>
      <c r="Z41" s="120"/>
      <c r="AA41" s="239"/>
    </row>
    <row r="42" spans="1:27" ht="24.95" customHeight="1" x14ac:dyDescent="0.35">
      <c r="A42" s="123"/>
      <c r="B42" s="96">
        <f>+SUM(C8:C17)</f>
        <v>0.45</v>
      </c>
      <c r="C42" s="97">
        <v>0</v>
      </c>
      <c r="D42" s="33"/>
      <c r="E42" s="126">
        <f>+H14</f>
        <v>9.0762457311497208E-2</v>
      </c>
      <c r="F42" s="125">
        <f>+J14</f>
        <v>0.20916902790675618</v>
      </c>
      <c r="G42" s="33"/>
      <c r="H42" s="33"/>
      <c r="I42" s="33"/>
      <c r="J42" s="33"/>
      <c r="K42" s="33"/>
      <c r="L42" s="33"/>
      <c r="M42" s="33"/>
      <c r="N42" s="33"/>
      <c r="O42" s="259"/>
      <c r="P42" s="243"/>
      <c r="Q42" s="259"/>
      <c r="R42" s="244"/>
      <c r="S42" s="244"/>
      <c r="T42" s="245"/>
      <c r="U42" s="245"/>
      <c r="V42" s="259"/>
      <c r="W42" s="245"/>
      <c r="X42" s="259"/>
      <c r="Y42" s="245"/>
      <c r="Z42" s="120"/>
      <c r="AA42" s="239"/>
    </row>
    <row r="43" spans="1:27" ht="24.95" customHeight="1" thickBot="1" x14ac:dyDescent="0.4">
      <c r="A43" s="135"/>
      <c r="B43" s="111">
        <f>+SUM(C8:C17)</f>
        <v>0.45</v>
      </c>
      <c r="C43" s="112">
        <v>1</v>
      </c>
      <c r="D43" s="33"/>
      <c r="E43" s="126">
        <f>+H14</f>
        <v>9.0762457311497208E-2</v>
      </c>
      <c r="F43" s="125">
        <f>+J15</f>
        <v>0.12094626391940601</v>
      </c>
      <c r="G43" s="33"/>
      <c r="H43" s="33"/>
      <c r="I43" s="33"/>
      <c r="J43" s="33"/>
      <c r="K43" s="33"/>
      <c r="L43" s="33"/>
      <c r="M43" s="33"/>
      <c r="N43" s="33"/>
      <c r="O43" s="259"/>
      <c r="P43" s="243"/>
      <c r="Q43" s="259"/>
      <c r="R43" s="244"/>
      <c r="S43" s="244"/>
      <c r="T43" s="245"/>
      <c r="U43" s="245"/>
      <c r="V43" s="259"/>
      <c r="W43" s="245"/>
      <c r="X43" s="259"/>
      <c r="Y43" s="245"/>
      <c r="Z43" s="120"/>
      <c r="AA43" s="239"/>
    </row>
    <row r="44" spans="1:27" ht="24.95" customHeight="1" thickTop="1" thickBot="1" x14ac:dyDescent="0.4">
      <c r="A44" s="94"/>
      <c r="B44" s="94"/>
      <c r="C44" s="94"/>
      <c r="D44" s="33"/>
      <c r="E44" s="126">
        <f>+H15</f>
        <v>4.9760864357170663E-2</v>
      </c>
      <c r="F44" s="125">
        <f>+J15</f>
        <v>0.12094626391940601</v>
      </c>
      <c r="G44" s="33"/>
      <c r="H44" s="33"/>
      <c r="I44" s="33"/>
      <c r="J44" s="33"/>
      <c r="K44" s="33"/>
      <c r="L44" s="33"/>
      <c r="M44" s="33"/>
      <c r="N44" s="33"/>
      <c r="O44" s="259"/>
      <c r="P44" s="243"/>
      <c r="Q44" s="259"/>
      <c r="R44" s="244"/>
      <c r="S44" s="244"/>
      <c r="T44" s="245"/>
      <c r="U44" s="245"/>
      <c r="V44" s="259"/>
      <c r="W44" s="245"/>
      <c r="X44" s="259"/>
      <c r="Y44" s="245"/>
      <c r="Z44" s="120"/>
      <c r="AA44" s="239"/>
    </row>
    <row r="45" spans="1:27" ht="24.95" customHeight="1" thickTop="1" x14ac:dyDescent="0.35">
      <c r="A45" s="143" t="s">
        <v>107</v>
      </c>
      <c r="B45" s="146" t="s">
        <v>3</v>
      </c>
      <c r="C45" s="145" t="s">
        <v>4</v>
      </c>
      <c r="D45" s="33"/>
      <c r="E45" s="126">
        <f>+H15</f>
        <v>4.9760864357170663E-2</v>
      </c>
      <c r="F45" s="125">
        <f>+J16</f>
        <v>6.527499471348519E-2</v>
      </c>
      <c r="G45" s="33"/>
      <c r="H45" s="33"/>
      <c r="I45" s="33"/>
      <c r="J45" s="33"/>
      <c r="K45" s="33"/>
      <c r="L45" s="33"/>
      <c r="M45" s="33"/>
      <c r="N45" s="33"/>
      <c r="O45" s="259"/>
      <c r="P45" s="243"/>
      <c r="Q45" s="243"/>
      <c r="R45" s="244"/>
      <c r="S45" s="244"/>
      <c r="T45" s="245"/>
      <c r="U45" s="245"/>
      <c r="V45" s="259"/>
      <c r="W45" s="245"/>
      <c r="X45" s="259"/>
      <c r="Y45" s="245"/>
      <c r="Z45" s="120"/>
      <c r="AA45" s="239"/>
    </row>
    <row r="46" spans="1:27" ht="24.95" customHeight="1" x14ac:dyDescent="0.35">
      <c r="A46" s="123"/>
      <c r="B46" s="96">
        <v>0</v>
      </c>
      <c r="C46" s="97">
        <v>0</v>
      </c>
      <c r="D46" s="33"/>
      <c r="E46" s="126">
        <f>+H16</f>
        <v>2.6017801558342775E-2</v>
      </c>
      <c r="F46" s="125">
        <f>+J16</f>
        <v>6.527499471348519E-2</v>
      </c>
      <c r="G46" s="33"/>
      <c r="H46" s="33"/>
      <c r="I46" s="33"/>
      <c r="J46" s="33"/>
      <c r="K46" s="33"/>
      <c r="L46" s="33"/>
      <c r="M46" s="33"/>
      <c r="N46" s="33"/>
      <c r="O46" s="86"/>
      <c r="P46" s="239"/>
      <c r="Q46" s="239"/>
      <c r="R46" s="239"/>
      <c r="S46" s="239"/>
      <c r="T46" s="239"/>
      <c r="U46" s="239"/>
      <c r="V46" s="239"/>
      <c r="W46" s="239"/>
      <c r="X46" s="239"/>
      <c r="Y46" s="239"/>
      <c r="Z46" s="239"/>
      <c r="AA46" s="239"/>
    </row>
    <row r="47" spans="1:27" ht="24.95" customHeight="1" thickBot="1" x14ac:dyDescent="0.4">
      <c r="A47" s="135"/>
      <c r="B47" s="111">
        <v>1</v>
      </c>
      <c r="C47" s="112">
        <v>1</v>
      </c>
      <c r="D47" s="33"/>
      <c r="E47" s="126">
        <f>+H16</f>
        <v>2.6017801558342775E-2</v>
      </c>
      <c r="F47" s="125">
        <f>+J17</f>
        <v>3.3094677720365444E-2</v>
      </c>
      <c r="G47" s="33"/>
      <c r="H47" s="33"/>
      <c r="I47" s="33"/>
      <c r="J47" s="33"/>
      <c r="K47" s="33"/>
      <c r="L47" s="33"/>
      <c r="M47" s="33"/>
      <c r="N47" s="33"/>
      <c r="O47" s="86"/>
      <c r="P47" s="239"/>
      <c r="Q47" s="246"/>
      <c r="R47" s="246"/>
      <c r="S47" s="246"/>
      <c r="T47" s="246"/>
      <c r="U47" s="246"/>
      <c r="V47" s="246"/>
      <c r="W47" s="246"/>
      <c r="X47" s="246"/>
      <c r="Y47" s="239"/>
      <c r="Z47" s="239"/>
      <c r="AA47" s="239"/>
    </row>
    <row r="48" spans="1:27" ht="24.95" customHeight="1" thickTop="1" x14ac:dyDescent="0.35">
      <c r="A48" s="33"/>
      <c r="B48" s="33"/>
      <c r="C48" s="33"/>
      <c r="D48" s="33"/>
      <c r="E48" s="126">
        <f>+H17</f>
        <v>1.2959331809509492E-2</v>
      </c>
      <c r="F48" s="125">
        <f>+J17</f>
        <v>3.3094677720365444E-2</v>
      </c>
      <c r="G48" s="33"/>
      <c r="H48" s="33"/>
      <c r="I48" s="33"/>
      <c r="J48" s="33"/>
      <c r="K48" s="33"/>
      <c r="L48" s="33"/>
      <c r="M48" s="33"/>
      <c r="N48" s="33"/>
      <c r="O48" s="33"/>
      <c r="P48" s="37"/>
      <c r="Q48" s="213"/>
      <c r="R48" s="214"/>
      <c r="S48" s="213"/>
      <c r="T48" s="213"/>
      <c r="U48" s="215"/>
      <c r="V48" s="211"/>
      <c r="W48" s="211"/>
      <c r="X48" s="211"/>
      <c r="Y48" s="37"/>
      <c r="Z48" s="37"/>
      <c r="AA48" s="37"/>
    </row>
    <row r="49" spans="1:27" ht="24.95" customHeight="1" x14ac:dyDescent="0.35">
      <c r="A49" s="33"/>
      <c r="B49" s="147"/>
      <c r="C49" s="33"/>
      <c r="D49" s="33"/>
      <c r="E49" s="126">
        <f>+H17</f>
        <v>1.2959331809509492E-2</v>
      </c>
      <c r="F49" s="125">
        <f>+J18</f>
        <v>1.5419148613764292E-2</v>
      </c>
      <c r="G49" s="33"/>
      <c r="H49" s="33"/>
      <c r="I49" s="33"/>
      <c r="J49" s="33"/>
      <c r="K49" s="33"/>
      <c r="L49" s="33"/>
      <c r="M49" s="33"/>
      <c r="N49" s="33"/>
      <c r="O49" s="33"/>
      <c r="P49" s="37"/>
      <c r="Q49" s="213"/>
      <c r="R49" s="214"/>
      <c r="S49" s="213"/>
      <c r="T49" s="214"/>
      <c r="U49" s="215"/>
      <c r="V49" s="211"/>
      <c r="W49" s="211"/>
      <c r="X49" s="211"/>
      <c r="Y49" s="37"/>
      <c r="Z49" s="37"/>
      <c r="AA49" s="37"/>
    </row>
    <row r="50" spans="1:27" ht="24.95" customHeight="1" x14ac:dyDescent="0.35">
      <c r="A50" s="33"/>
      <c r="B50" s="33"/>
      <c r="C50" s="33"/>
      <c r="D50" s="33"/>
      <c r="E50" s="126">
        <f>+H18</f>
        <v>5.98043895116306E-3</v>
      </c>
      <c r="F50" s="125">
        <f>+J18</f>
        <v>1.5419148613764292E-2</v>
      </c>
      <c r="G50" s="33"/>
      <c r="H50" s="33"/>
      <c r="I50" s="33"/>
      <c r="J50" s="33"/>
      <c r="K50" s="33"/>
      <c r="L50" s="33"/>
      <c r="M50" s="33"/>
      <c r="N50" s="33"/>
      <c r="O50" s="33"/>
      <c r="P50" s="37"/>
      <c r="Q50" s="213"/>
      <c r="R50" s="214"/>
      <c r="S50" s="213"/>
      <c r="T50" s="214"/>
      <c r="U50" s="215"/>
      <c r="V50" s="211"/>
      <c r="W50" s="211"/>
      <c r="X50" s="211"/>
      <c r="Y50" s="37"/>
      <c r="Z50" s="37"/>
      <c r="AA50" s="37"/>
    </row>
    <row r="51" spans="1:27" ht="24.95" customHeight="1" thickBot="1" x14ac:dyDescent="0.4">
      <c r="A51" s="33"/>
      <c r="B51" s="33"/>
      <c r="C51" s="33"/>
      <c r="D51" s="33"/>
      <c r="E51" s="148">
        <f>+H18</f>
        <v>5.98043895116306E-3</v>
      </c>
      <c r="F51" s="137">
        <f>+H19</f>
        <v>5.9804389484031653E-3</v>
      </c>
      <c r="G51" s="33"/>
      <c r="H51" s="33"/>
      <c r="I51" s="33"/>
      <c r="J51" s="33"/>
      <c r="K51" s="33"/>
      <c r="L51" s="33"/>
      <c r="M51" s="33"/>
      <c r="N51" s="33"/>
      <c r="O51" s="33"/>
      <c r="P51" s="37"/>
      <c r="Q51" s="213"/>
      <c r="R51" s="214"/>
      <c r="S51" s="213"/>
      <c r="T51" s="214"/>
      <c r="U51" s="215"/>
      <c r="V51" s="211"/>
      <c r="W51" s="211"/>
      <c r="X51" s="211"/>
      <c r="Y51" s="37"/>
      <c r="Z51" s="37"/>
      <c r="AA51" s="37"/>
    </row>
    <row r="52" spans="1:27" ht="24.95" customHeight="1" thickTop="1" x14ac:dyDescent="0.3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7"/>
      <c r="Q52" s="213"/>
      <c r="R52" s="214"/>
      <c r="S52" s="213"/>
      <c r="T52" s="214"/>
      <c r="U52" s="215"/>
      <c r="V52" s="211"/>
      <c r="W52" s="211"/>
      <c r="X52" s="211"/>
      <c r="Y52" s="37"/>
      <c r="Z52" s="37"/>
      <c r="AA52" s="37"/>
    </row>
    <row r="53" spans="1:27" ht="24.95" customHeight="1" x14ac:dyDescent="0.25">
      <c r="A53" s="37"/>
      <c r="B53" s="37"/>
      <c r="C53" s="37"/>
      <c r="D53" s="37"/>
      <c r="E53" s="37"/>
      <c r="F53" s="37"/>
      <c r="G53" s="149"/>
      <c r="H53" s="149"/>
      <c r="I53" s="37"/>
      <c r="J53" s="37"/>
      <c r="K53" s="37"/>
      <c r="L53" s="37"/>
      <c r="M53" s="37"/>
      <c r="N53" s="37"/>
      <c r="O53" s="37"/>
      <c r="P53" s="37"/>
      <c r="Q53" s="213"/>
      <c r="R53" s="214"/>
      <c r="S53" s="213"/>
      <c r="T53" s="214"/>
      <c r="U53" s="215"/>
      <c r="V53" s="211"/>
      <c r="W53" s="211"/>
      <c r="X53" s="211"/>
      <c r="Y53" s="37"/>
      <c r="Z53" s="37"/>
      <c r="AA53" s="37"/>
    </row>
    <row r="54" spans="1:27" ht="24.95" customHeight="1" x14ac:dyDescent="0.25">
      <c r="Q54" s="216"/>
      <c r="R54" s="2"/>
      <c r="S54" s="216"/>
      <c r="T54" s="2"/>
      <c r="U54" s="22"/>
      <c r="V54" s="1"/>
      <c r="W54" s="1"/>
      <c r="X54" s="1"/>
    </row>
    <row r="55" spans="1:27" ht="24.95" customHeight="1" x14ac:dyDescent="0.25">
      <c r="Q55" s="216"/>
      <c r="R55" s="2"/>
      <c r="S55" s="216"/>
      <c r="T55" s="2"/>
      <c r="U55" s="22"/>
      <c r="V55" s="1"/>
      <c r="W55" s="1"/>
      <c r="X55" s="1"/>
    </row>
    <row r="56" spans="1:27" ht="24.95" customHeight="1" x14ac:dyDescent="0.25">
      <c r="Q56" s="216"/>
      <c r="R56" s="2"/>
      <c r="S56" s="216"/>
      <c r="T56" s="2"/>
      <c r="U56" s="22"/>
      <c r="V56" s="1"/>
      <c r="W56" s="1"/>
      <c r="X56" s="1"/>
    </row>
    <row r="57" spans="1:27" ht="24.95" customHeight="1" x14ac:dyDescent="0.25">
      <c r="Q57" s="216"/>
      <c r="R57" s="2"/>
      <c r="S57" s="216"/>
      <c r="T57" s="2"/>
      <c r="U57" s="22"/>
      <c r="V57" s="1"/>
      <c r="W57" s="1"/>
      <c r="X57" s="1"/>
    </row>
    <row r="58" spans="1:27" ht="24.95" customHeight="1" x14ac:dyDescent="0.25">
      <c r="Q58" s="216"/>
      <c r="R58" s="2"/>
      <c r="S58" s="216"/>
      <c r="T58" s="2"/>
      <c r="U58" s="22"/>
      <c r="V58" s="1"/>
      <c r="W58" s="1"/>
      <c r="X58" s="1"/>
    </row>
    <row r="59" spans="1:27" ht="24.95" customHeight="1" x14ac:dyDescent="0.25">
      <c r="Q59" s="216"/>
      <c r="R59" s="2"/>
      <c r="S59" s="216"/>
      <c r="T59" s="2"/>
      <c r="U59" s="22"/>
      <c r="V59" s="1"/>
      <c r="W59" s="1"/>
      <c r="X59" s="1"/>
    </row>
    <row r="60" spans="1:27" ht="24.95" customHeight="1" x14ac:dyDescent="0.25">
      <c r="Q60" s="1"/>
      <c r="R60" s="212"/>
      <c r="S60" s="1"/>
      <c r="T60" s="1"/>
      <c r="U60" s="1"/>
      <c r="V60" s="1"/>
      <c r="W60" s="1"/>
      <c r="X60" s="1"/>
    </row>
    <row r="61" spans="1:27" ht="24.95" customHeight="1" x14ac:dyDescent="0.25">
      <c r="Q61" s="1"/>
      <c r="R61" s="1"/>
      <c r="S61" s="1"/>
      <c r="T61" s="1"/>
      <c r="U61" s="1"/>
      <c r="V61" s="1"/>
      <c r="W61" s="1"/>
      <c r="X61" s="1"/>
    </row>
    <row r="62" spans="1:27" ht="24.95" customHeight="1" x14ac:dyDescent="0.2"/>
    <row r="63" spans="1:27" ht="24.95" customHeight="1" x14ac:dyDescent="0.2"/>
    <row r="64" spans="1:27" ht="24.95" customHeight="1" x14ac:dyDescent="0.2"/>
    <row r="65" ht="24.95" customHeight="1" x14ac:dyDescent="0.2"/>
    <row r="66" ht="24.95" customHeight="1" x14ac:dyDescent="0.2"/>
    <row r="67" ht="24.95" customHeight="1" x14ac:dyDescent="0.2"/>
    <row r="68" ht="24.95" customHeight="1" x14ac:dyDescent="0.2"/>
  </sheetData>
  <mergeCells count="4">
    <mergeCell ref="E27:F27"/>
    <mergeCell ref="E22:H22"/>
    <mergeCell ref="I22:J22"/>
    <mergeCell ref="H3:I3"/>
  </mergeCells>
  <phoneticPr fontId="1" type="noConversion"/>
  <pageMargins left="0.75" right="0.75" top="1" bottom="1" header="0.5" footer="0.5"/>
  <pageSetup scale="25" orientation="landscape" horizontalDpi="4294967292" verticalDpi="4294967292" r:id="rId1"/>
  <headerFooter alignWithMargins="0"/>
  <ignoredErrors>
    <ignoredError sqref="J9 J10:J17 J18 D8:D17 H19" emptyCellReference="1"/>
    <ignoredError sqref="K29 K30:K40 M29:M40 H29:H4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Z28"/>
  <sheetViews>
    <sheetView showGridLines="0" topLeftCell="A3" zoomScale="70" zoomScaleNormal="70" workbookViewId="0">
      <selection activeCell="E23" sqref="E23"/>
    </sheetView>
  </sheetViews>
  <sheetFormatPr defaultRowHeight="21" x14ac:dyDescent="0.35"/>
  <cols>
    <col min="1" max="10" width="20.625" customWidth="1"/>
    <col min="11" max="11" width="20.625" style="28" customWidth="1"/>
    <col min="12" max="13" width="20.625" customWidth="1"/>
    <col min="14" max="15" width="12.625" customWidth="1"/>
  </cols>
  <sheetData>
    <row r="1" spans="1:26" ht="25.15" customHeight="1" thickTop="1" thickBot="1" x14ac:dyDescent="0.4">
      <c r="A1" s="33" t="s">
        <v>132</v>
      </c>
      <c r="B1" s="34" t="s">
        <v>37</v>
      </c>
      <c r="C1" s="35"/>
      <c r="D1" s="36"/>
      <c r="E1" s="167" t="s">
        <v>133</v>
      </c>
      <c r="F1" s="168"/>
      <c r="G1" s="169"/>
      <c r="H1" s="33"/>
      <c r="I1" s="33"/>
      <c r="J1" s="33"/>
      <c r="K1" s="33"/>
      <c r="L1" s="33"/>
      <c r="M1" s="33"/>
      <c r="N1" s="37"/>
    </row>
    <row r="2" spans="1:26" ht="25.15" customHeight="1" thickTop="1" thickBot="1" x14ac:dyDescent="0.4">
      <c r="A2" s="33"/>
      <c r="B2" s="40" t="s">
        <v>38</v>
      </c>
      <c r="C2" s="41"/>
      <c r="D2" s="42"/>
      <c r="E2" s="170" t="s">
        <v>148</v>
      </c>
      <c r="F2" s="170"/>
      <c r="G2" s="171"/>
      <c r="H2" s="33"/>
      <c r="I2" s="33"/>
      <c r="J2" s="33"/>
      <c r="K2" s="33"/>
      <c r="L2" s="33"/>
      <c r="M2" s="33"/>
      <c r="N2" s="37"/>
    </row>
    <row r="3" spans="1:26" ht="25.15" customHeight="1" thickTop="1" thickBot="1" x14ac:dyDescent="0.4">
      <c r="A3" s="33"/>
      <c r="E3" s="33"/>
      <c r="F3" s="33"/>
      <c r="G3" s="33"/>
      <c r="H3" s="33"/>
      <c r="I3" s="33"/>
      <c r="J3" s="33"/>
      <c r="K3" s="33"/>
      <c r="L3" s="33"/>
      <c r="M3" s="33"/>
      <c r="N3" s="37"/>
    </row>
    <row r="4" spans="1:26" ht="25.15" customHeight="1" thickTop="1" thickBot="1" x14ac:dyDescent="0.4">
      <c r="A4" s="267" t="s">
        <v>109</v>
      </c>
      <c r="B4" s="269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</row>
    <row r="5" spans="1:26" ht="25.15" customHeight="1" thickTop="1" thickBot="1" x14ac:dyDescent="0.5">
      <c r="A5" s="286" t="s">
        <v>149</v>
      </c>
      <c r="B5" s="287"/>
      <c r="C5" s="37"/>
      <c r="D5" s="283" t="s">
        <v>134</v>
      </c>
      <c r="E5" s="284"/>
      <c r="F5" s="284"/>
      <c r="G5" s="284"/>
      <c r="H5" s="284"/>
      <c r="I5" s="285"/>
      <c r="J5" s="33"/>
      <c r="K5" s="33"/>
      <c r="L5" s="33"/>
      <c r="M5" s="33"/>
      <c r="N5" s="33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</row>
    <row r="6" spans="1:26" ht="25.15" customHeight="1" thickTop="1" x14ac:dyDescent="0.45">
      <c r="A6" s="158" t="s">
        <v>79</v>
      </c>
      <c r="B6" s="159">
        <f>+'10-Tray'!B19</f>
        <v>100</v>
      </c>
      <c r="C6" s="37"/>
      <c r="D6" s="163" t="s">
        <v>92</v>
      </c>
      <c r="E6" s="172">
        <f>10^(B26-C26/(D26+$G$6))/$B$8</f>
        <v>1.9478399197727096</v>
      </c>
      <c r="F6" s="270" t="s">
        <v>135</v>
      </c>
      <c r="G6" s="272">
        <v>66.840499953794975</v>
      </c>
      <c r="H6" s="174"/>
      <c r="I6" s="175"/>
      <c r="J6" s="33"/>
      <c r="K6" s="33"/>
      <c r="L6" s="33"/>
      <c r="M6" s="33"/>
      <c r="N6" s="33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</row>
    <row r="7" spans="1:26" ht="25.15" customHeight="1" thickBot="1" x14ac:dyDescent="0.5">
      <c r="A7" s="158" t="s">
        <v>80</v>
      </c>
      <c r="B7" s="159">
        <f>+'10-Tray'!C19</f>
        <v>0.45</v>
      </c>
      <c r="C7" s="37"/>
      <c r="D7" s="164" t="s">
        <v>93</v>
      </c>
      <c r="E7" s="162">
        <f>10^(B27-C27/(D27+$G$6))/$B$8</f>
        <v>0.7157176727371618</v>
      </c>
      <c r="F7" s="271"/>
      <c r="G7" s="273">
        <v>0</v>
      </c>
      <c r="H7" s="176" t="s">
        <v>112</v>
      </c>
      <c r="I7" s="177">
        <f>+B7/E6+(1-B7)/E7-1</f>
        <v>-5.1541772984131651E-4</v>
      </c>
      <c r="J7" s="33"/>
      <c r="K7" s="33"/>
      <c r="L7" s="33"/>
      <c r="M7" s="33"/>
      <c r="N7" s="33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</row>
    <row r="8" spans="1:26" ht="25.15" customHeight="1" thickTop="1" x14ac:dyDescent="0.45">
      <c r="A8" s="158" t="s">
        <v>81</v>
      </c>
      <c r="B8" s="159">
        <f>+'10-Tray'!B4</f>
        <v>1000</v>
      </c>
      <c r="C8" s="37"/>
      <c r="D8" s="165" t="s">
        <v>92</v>
      </c>
      <c r="E8" s="161">
        <f>10^(B26-C26/(D26+$G$8))/$B$8</f>
        <v>1.5514533124487204</v>
      </c>
      <c r="F8" s="274" t="s">
        <v>137</v>
      </c>
      <c r="G8" s="276">
        <v>58.771352258882978</v>
      </c>
      <c r="H8" s="179"/>
      <c r="I8" s="180"/>
      <c r="J8" s="33"/>
      <c r="K8" s="33"/>
      <c r="L8" s="33"/>
      <c r="M8" s="33"/>
      <c r="N8" s="33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</row>
    <row r="9" spans="1:26" ht="25.15" customHeight="1" thickBot="1" x14ac:dyDescent="0.5">
      <c r="A9" s="160" t="s">
        <v>136</v>
      </c>
      <c r="B9" s="224">
        <f>+'10-Tray'!I4</f>
        <v>58.7</v>
      </c>
      <c r="C9" s="33"/>
      <c r="D9" s="166" t="s">
        <v>93</v>
      </c>
      <c r="E9" s="173">
        <f>10^(B27-C27/(D27+$G$8))/$B$8</f>
        <v>0.54962997643156697</v>
      </c>
      <c r="F9" s="275"/>
      <c r="G9" s="277">
        <v>-3.7778706683311344E+16</v>
      </c>
      <c r="H9" s="166" t="s">
        <v>113</v>
      </c>
      <c r="I9" s="178">
        <f>+B7*E8+(1-B7)*E9-1</f>
        <v>4.5047763928596218E-4</v>
      </c>
      <c r="J9" s="33"/>
      <c r="K9" s="33"/>
      <c r="L9" s="33"/>
      <c r="M9" s="33"/>
      <c r="N9" s="33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</row>
    <row r="10" spans="1:26" ht="25.15" customHeight="1" thickTop="1" thickBot="1" x14ac:dyDescent="0.4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282" t="s">
        <v>127</v>
      </c>
      <c r="L10" s="282"/>
      <c r="M10" s="282"/>
      <c r="N10" s="33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</row>
    <row r="11" spans="1:26" ht="25.15" customHeight="1" thickTop="1" thickBot="1" x14ac:dyDescent="0.5">
      <c r="A11" s="267" t="s">
        <v>114</v>
      </c>
      <c r="B11" s="268"/>
      <c r="C11" s="268"/>
      <c r="D11" s="269"/>
      <c r="E11" s="37"/>
      <c r="F11" s="267" t="s">
        <v>117</v>
      </c>
      <c r="G11" s="269"/>
      <c r="H11" s="37"/>
      <c r="I11" s="143" t="s">
        <v>76</v>
      </c>
      <c r="J11" s="145">
        <f>IF(B9&gt;G6,1,0)</f>
        <v>0</v>
      </c>
      <c r="K11" s="280" t="s">
        <v>138</v>
      </c>
      <c r="L11" s="282"/>
      <c r="M11" s="282"/>
      <c r="N11" s="33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</row>
    <row r="12" spans="1:26" ht="25.15" customHeight="1" thickTop="1" thickBot="1" x14ac:dyDescent="0.5">
      <c r="A12" s="163" t="s">
        <v>139</v>
      </c>
      <c r="B12" s="185">
        <f>10^(B26-C26/(D26+$B$9))/$B$8</f>
        <v>1.5482476378926029</v>
      </c>
      <c r="C12" s="181" t="s">
        <v>140</v>
      </c>
      <c r="D12" s="182">
        <f>10^(B27-C27/(D27+$B$9))/$B$8</f>
        <v>0.54831144200958226</v>
      </c>
      <c r="E12" s="37"/>
      <c r="F12" s="286" t="s">
        <v>164</v>
      </c>
      <c r="G12" s="287"/>
      <c r="H12" s="37"/>
      <c r="I12" s="123" t="s">
        <v>77</v>
      </c>
      <c r="J12" s="97">
        <f>+IF(B9&lt;G8,1,0)</f>
        <v>1</v>
      </c>
      <c r="K12" s="280" t="s">
        <v>142</v>
      </c>
      <c r="L12" s="282"/>
      <c r="M12" s="282"/>
      <c r="N12" s="33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</row>
    <row r="13" spans="1:26" ht="25.15" customHeight="1" thickTop="1" thickBot="1" x14ac:dyDescent="0.5">
      <c r="A13" s="31" t="s">
        <v>82</v>
      </c>
      <c r="B13" s="187">
        <v>0.45000000007311225</v>
      </c>
      <c r="C13" s="163" t="s">
        <v>113</v>
      </c>
      <c r="D13" s="189">
        <f>+B13*B12+(1-B13)*D12-1</f>
        <v>-1.7172697699509021E-3</v>
      </c>
      <c r="E13" s="37"/>
      <c r="F13" s="176" t="s">
        <v>141</v>
      </c>
      <c r="G13" s="192">
        <f>+I26*($B$9-$K$26)+J26*($B$9^2-$K$26^2)/2</f>
        <v>3.9850924898400004</v>
      </c>
      <c r="H13" s="37"/>
      <c r="I13" s="135" t="s">
        <v>78</v>
      </c>
      <c r="J13" s="112">
        <f>IF(AND(B9&gt;=G8, B9&lt;=G6),1,0)</f>
        <v>0</v>
      </c>
      <c r="K13" s="280" t="s">
        <v>144</v>
      </c>
      <c r="L13" s="282"/>
      <c r="M13" s="282"/>
      <c r="N13" s="33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</row>
    <row r="14" spans="1:26" ht="25.15" customHeight="1" thickTop="1" thickBot="1" x14ac:dyDescent="0.5">
      <c r="A14" s="186" t="s">
        <v>83</v>
      </c>
      <c r="B14" s="183">
        <v>0.69937036568040412</v>
      </c>
      <c r="C14" s="176" t="s">
        <v>112</v>
      </c>
      <c r="D14" s="190">
        <f>+B14/B12+(1-B14)/D12-1</f>
        <v>0</v>
      </c>
      <c r="E14" s="93"/>
      <c r="F14" s="176" t="s">
        <v>143</v>
      </c>
      <c r="G14" s="192">
        <f>+I27*($B$9-$K$27)+J27*($B$9^2-$K$27^2)/2</f>
        <v>-2.1716519999999981</v>
      </c>
      <c r="H14" s="37"/>
      <c r="I14" s="37"/>
      <c r="J14" s="33"/>
      <c r="K14" s="33"/>
      <c r="L14" s="37"/>
      <c r="M14" s="33"/>
      <c r="N14" s="33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</row>
    <row r="15" spans="1:26" ht="25.15" customHeight="1" thickTop="1" x14ac:dyDescent="0.45">
      <c r="A15" s="186" t="s">
        <v>84</v>
      </c>
      <c r="B15" s="184">
        <v>100</v>
      </c>
      <c r="C15" s="176" t="s">
        <v>115</v>
      </c>
      <c r="D15" s="190">
        <f>+B6-B15-B16</f>
        <v>0</v>
      </c>
      <c r="E15" s="93"/>
      <c r="F15" s="176" t="s">
        <v>145</v>
      </c>
      <c r="G15" s="192">
        <f>+L26+E26*($B$9-K26)+F26*($B$9^2-K26^2)/2+G26*($B$9^3-K26^3)/3+H26*($B$9^4-K26^4)/4</f>
        <v>28.723753710905502</v>
      </c>
      <c r="H15" s="37"/>
      <c r="I15" s="260" t="s">
        <v>130</v>
      </c>
      <c r="J15" s="261"/>
      <c r="K15" s="280" t="s">
        <v>127</v>
      </c>
      <c r="L15" s="281"/>
      <c r="M15" s="281"/>
      <c r="N15" s="37"/>
    </row>
    <row r="16" spans="1:26" ht="25.15" customHeight="1" thickBot="1" x14ac:dyDescent="0.5">
      <c r="A16" s="38" t="s">
        <v>85</v>
      </c>
      <c r="B16" s="188">
        <v>0</v>
      </c>
      <c r="C16" s="166" t="s">
        <v>116</v>
      </c>
      <c r="D16" s="191">
        <f>+B6*B7-B15*B13-B16*B14</f>
        <v>-7.3112218501591997E-9</v>
      </c>
      <c r="E16" s="93"/>
      <c r="F16" s="176" t="s">
        <v>146</v>
      </c>
      <c r="G16" s="192">
        <f>+L27+E27*($B$9-K27)+F27*($B$9^2-K27^2)/2+G27*($B$9^3-K27^3)/3+H27*($B$9^4-K27^4)/4</f>
        <v>27.218385423982728</v>
      </c>
      <c r="H16" s="37"/>
      <c r="I16" s="278" t="s">
        <v>131</v>
      </c>
      <c r="J16" s="279"/>
      <c r="K16" s="94" t="s">
        <v>121</v>
      </c>
      <c r="L16" s="94" t="s">
        <v>122</v>
      </c>
      <c r="M16" s="94" t="s">
        <v>120</v>
      </c>
      <c r="N16" s="37"/>
    </row>
    <row r="17" spans="1:15" ht="25.15" customHeight="1" thickTop="1" thickBot="1" x14ac:dyDescent="0.5">
      <c r="A17" s="37"/>
      <c r="B17" s="37"/>
      <c r="C17" s="37"/>
      <c r="D17" s="37"/>
      <c r="E17" s="93"/>
      <c r="F17" s="209" t="s">
        <v>147</v>
      </c>
      <c r="G17" s="210">
        <f>+J17*(J18*G15+(1-J18)*G16)+J19*(J20*G13+(1-J20)*G14)</f>
        <v>59.888302042800113</v>
      </c>
      <c r="H17" s="37"/>
      <c r="I17" s="150" t="s">
        <v>85</v>
      </c>
      <c r="J17" s="155">
        <f>IF(J11=1,B6,IF(J12=1,0,B16))</f>
        <v>0</v>
      </c>
      <c r="K17" s="94">
        <v>0</v>
      </c>
      <c r="L17" s="94" t="s">
        <v>123</v>
      </c>
      <c r="M17" s="94" t="s">
        <v>124</v>
      </c>
      <c r="N17" s="37"/>
    </row>
    <row r="18" spans="1:15" ht="25.15" customHeight="1" thickTop="1" x14ac:dyDescent="0.45">
      <c r="A18" s="87" t="s">
        <v>166</v>
      </c>
      <c r="B18" s="88"/>
      <c r="C18" s="88"/>
      <c r="D18" s="89"/>
      <c r="E18" s="33"/>
      <c r="F18" s="37"/>
      <c r="G18" s="37"/>
      <c r="H18" s="37"/>
      <c r="I18" s="150" t="s">
        <v>86</v>
      </c>
      <c r="J18" s="156">
        <f>IF(J11=1,B7,IF(J12=1,0,B14))</f>
        <v>0</v>
      </c>
      <c r="K18" s="94">
        <v>0</v>
      </c>
      <c r="L18" s="94" t="s">
        <v>125</v>
      </c>
      <c r="M18" s="94" t="s">
        <v>126</v>
      </c>
      <c r="N18" s="37"/>
    </row>
    <row r="19" spans="1:15" ht="25.15" customHeight="1" x14ac:dyDescent="0.35">
      <c r="A19" s="95" t="s">
        <v>118</v>
      </c>
      <c r="B19" s="132"/>
      <c r="C19" s="132"/>
      <c r="D19" s="200"/>
      <c r="E19" s="33"/>
      <c r="F19" s="37"/>
      <c r="G19" s="37"/>
      <c r="H19" s="37"/>
      <c r="I19" s="150" t="s">
        <v>84</v>
      </c>
      <c r="J19" s="155">
        <f>IF(J11=1,0,IF(J12=1,B6,B15))</f>
        <v>100</v>
      </c>
      <c r="K19" s="94" t="s">
        <v>124</v>
      </c>
      <c r="L19" s="94" t="s">
        <v>128</v>
      </c>
      <c r="M19" s="94">
        <v>0</v>
      </c>
      <c r="N19" s="37"/>
    </row>
    <row r="20" spans="1:15" ht="25.15" customHeight="1" thickBot="1" x14ac:dyDescent="0.4">
      <c r="A20" s="95" t="s">
        <v>119</v>
      </c>
      <c r="B20" s="132"/>
      <c r="C20" s="132"/>
      <c r="D20" s="200"/>
      <c r="E20" s="33"/>
      <c r="F20" s="37"/>
      <c r="G20" s="37"/>
      <c r="H20" s="37"/>
      <c r="I20" s="151" t="s">
        <v>87</v>
      </c>
      <c r="J20" s="157">
        <f>IF(J11=1,0,IF(J12=1,B7,B13))</f>
        <v>0.45</v>
      </c>
      <c r="K20" s="94" t="s">
        <v>126</v>
      </c>
      <c r="L20" s="94" t="s">
        <v>129</v>
      </c>
      <c r="M20" s="94">
        <v>0</v>
      </c>
      <c r="N20" s="37"/>
    </row>
    <row r="21" spans="1:15" ht="25.15" customHeight="1" thickTop="1" x14ac:dyDescent="0.35">
      <c r="A21" s="95" t="s">
        <v>162</v>
      </c>
      <c r="B21" s="132"/>
      <c r="C21" s="132"/>
      <c r="D21" s="200"/>
      <c r="E21" s="33"/>
      <c r="F21" s="37"/>
      <c r="G21" s="37"/>
      <c r="H21" s="37"/>
      <c r="I21" s="84"/>
      <c r="J21" s="255"/>
      <c r="K21" s="193"/>
      <c r="L21" s="193"/>
      <c r="M21" s="193"/>
      <c r="N21" s="37"/>
    </row>
    <row r="22" spans="1:15" ht="25.15" customHeight="1" thickBot="1" x14ac:dyDescent="0.4">
      <c r="A22" s="110" t="s">
        <v>163</v>
      </c>
      <c r="B22" s="133"/>
      <c r="C22" s="133"/>
      <c r="D22" s="134"/>
      <c r="E22" s="33"/>
      <c r="F22" s="37"/>
      <c r="G22" s="37"/>
      <c r="H22" s="37"/>
      <c r="I22" s="84"/>
      <c r="J22" s="255"/>
      <c r="K22" s="193"/>
      <c r="L22" s="193"/>
      <c r="M22" s="193"/>
      <c r="N22" s="37"/>
    </row>
    <row r="23" spans="1:15" ht="22.5" thickTop="1" thickBot="1" x14ac:dyDescent="0.4">
      <c r="B23" s="28"/>
      <c r="C23" s="28"/>
      <c r="D23" s="28"/>
      <c r="E23" s="28"/>
    </row>
    <row r="24" spans="1:15" ht="25.5" thickTop="1" x14ac:dyDescent="0.45">
      <c r="A24" s="87" t="s">
        <v>5</v>
      </c>
      <c r="B24" s="88"/>
      <c r="C24" s="88"/>
      <c r="D24" s="89"/>
      <c r="E24" s="262" t="s">
        <v>102</v>
      </c>
      <c r="F24" s="263"/>
      <c r="G24" s="263"/>
      <c r="H24" s="264"/>
      <c r="I24" s="262" t="s">
        <v>103</v>
      </c>
      <c r="J24" s="264"/>
      <c r="K24" s="256" t="s">
        <v>104</v>
      </c>
      <c r="L24" s="256" t="s">
        <v>105</v>
      </c>
      <c r="M24" s="256" t="s">
        <v>65</v>
      </c>
      <c r="N24" s="256" t="s">
        <v>106</v>
      </c>
      <c r="O24" s="257" t="s">
        <v>66</v>
      </c>
    </row>
    <row r="25" spans="1:15" x14ac:dyDescent="0.35">
      <c r="A25" s="95"/>
      <c r="B25" s="96" t="s">
        <v>8</v>
      </c>
      <c r="C25" s="96" t="s">
        <v>9</v>
      </c>
      <c r="D25" s="97" t="s">
        <v>10</v>
      </c>
      <c r="E25" s="98" t="s">
        <v>67</v>
      </c>
      <c r="F25" s="98" t="s">
        <v>68</v>
      </c>
      <c r="G25" s="98" t="s">
        <v>69</v>
      </c>
      <c r="H25" s="98" t="s">
        <v>70</v>
      </c>
      <c r="I25" s="99" t="s">
        <v>67</v>
      </c>
      <c r="J25" s="100" t="s">
        <v>68</v>
      </c>
      <c r="K25" s="98"/>
      <c r="L25" s="98"/>
      <c r="M25" s="98"/>
      <c r="N25" s="101"/>
      <c r="O25" s="102"/>
    </row>
    <row r="26" spans="1:15" x14ac:dyDescent="0.35">
      <c r="A26" s="95" t="s">
        <v>167</v>
      </c>
      <c r="B26" s="96">
        <v>6.8447100000000001</v>
      </c>
      <c r="C26" s="96">
        <v>1060.7929999999999</v>
      </c>
      <c r="D26" s="97">
        <v>231.541</v>
      </c>
      <c r="E26" s="103">
        <v>0.1148</v>
      </c>
      <c r="F26" s="103">
        <v>3.4089999999999999E-4</v>
      </c>
      <c r="G26" s="103">
        <v>-1.899E-7</v>
      </c>
      <c r="H26" s="103">
        <v>4.2259999999999998E-11</v>
      </c>
      <c r="I26" s="104">
        <v>0.15540000000000001</v>
      </c>
      <c r="J26" s="105">
        <v>4.3679999999999999E-4</v>
      </c>
      <c r="K26" s="106">
        <v>36.07</v>
      </c>
      <c r="L26" s="107">
        <v>25.77</v>
      </c>
      <c r="M26" s="106">
        <v>72.150000000000006</v>
      </c>
      <c r="N26" s="98">
        <v>630</v>
      </c>
      <c r="O26" s="108">
        <f>+M26/N26</f>
        <v>0.11452380952380953</v>
      </c>
    </row>
    <row r="27" spans="1:15" ht="21.75" thickBot="1" x14ac:dyDescent="0.4">
      <c r="A27" s="110" t="s">
        <v>168</v>
      </c>
      <c r="B27" s="111">
        <v>6.8855500000000003</v>
      </c>
      <c r="C27" s="111">
        <v>1175.817</v>
      </c>
      <c r="D27" s="258">
        <v>224.86699999999999</v>
      </c>
      <c r="E27" s="113">
        <v>0.13744000000000001</v>
      </c>
      <c r="F27" s="113">
        <v>4.0850000000000001E-4</v>
      </c>
      <c r="G27" s="113">
        <v>-2.3920000000000002E-7</v>
      </c>
      <c r="H27" s="113">
        <v>5.7659999999999998E-11</v>
      </c>
      <c r="I27" s="114">
        <v>0.21629999999999999</v>
      </c>
      <c r="J27" s="115"/>
      <c r="K27" s="116">
        <v>68.739999999999995</v>
      </c>
      <c r="L27" s="117">
        <v>28.85</v>
      </c>
      <c r="M27" s="116">
        <v>86.17</v>
      </c>
      <c r="N27" s="118">
        <v>659</v>
      </c>
      <c r="O27" s="119">
        <f>+M27/N27</f>
        <v>0.13075872534142641</v>
      </c>
    </row>
    <row r="28" spans="1:15" ht="21.75" thickTop="1" x14ac:dyDescent="0.35"/>
  </sheetData>
  <mergeCells count="19">
    <mergeCell ref="A4:B4"/>
    <mergeCell ref="I15:J15"/>
    <mergeCell ref="I16:J16"/>
    <mergeCell ref="K15:M15"/>
    <mergeCell ref="K10:M10"/>
    <mergeCell ref="K11:M11"/>
    <mergeCell ref="K12:M12"/>
    <mergeCell ref="K13:M13"/>
    <mergeCell ref="D5:I5"/>
    <mergeCell ref="F11:G11"/>
    <mergeCell ref="A5:B5"/>
    <mergeCell ref="F12:G12"/>
    <mergeCell ref="E24:H24"/>
    <mergeCell ref="I24:J24"/>
    <mergeCell ref="A11:D11"/>
    <mergeCell ref="F6:F7"/>
    <mergeCell ref="G6:G7"/>
    <mergeCell ref="F8:F9"/>
    <mergeCell ref="G8:G9"/>
  </mergeCells>
  <pageMargins left="0.7" right="0.7" top="0.75" bottom="0.75" header="0.3" footer="0.3"/>
  <pageSetup scale="3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B68"/>
  <sheetViews>
    <sheetView zoomScale="70" zoomScaleNormal="70" workbookViewId="0">
      <selection activeCell="C30" sqref="C30"/>
    </sheetView>
  </sheetViews>
  <sheetFormatPr defaultColWidth="11" defaultRowHeight="12.75" x14ac:dyDescent="0.2"/>
  <cols>
    <col min="1" max="6" width="16.625" customWidth="1"/>
    <col min="7" max="7" width="14.625" customWidth="1"/>
    <col min="8" max="8" width="17.25" customWidth="1"/>
    <col min="9" max="9" width="14.625" customWidth="1"/>
    <col min="10" max="10" width="18" customWidth="1"/>
    <col min="11" max="14" width="14.625" customWidth="1"/>
    <col min="15" max="27" width="16.625" customWidth="1"/>
  </cols>
  <sheetData>
    <row r="1" spans="1:27" ht="24.95" customHeight="1" x14ac:dyDescent="0.4">
      <c r="A1" s="27" t="s">
        <v>74</v>
      </c>
      <c r="B1" s="12"/>
      <c r="C1" s="12"/>
      <c r="D1" s="14"/>
      <c r="E1" s="13"/>
      <c r="F1" s="12"/>
      <c r="J1" s="12"/>
      <c r="K1" s="12"/>
      <c r="L1" s="12"/>
      <c r="M1" s="12"/>
      <c r="N1" s="12"/>
    </row>
    <row r="2" spans="1:27" ht="24.95" customHeight="1" thickBot="1" x14ac:dyDescent="0.4">
      <c r="A2" s="28"/>
      <c r="B2" s="28"/>
      <c r="C2" s="28"/>
      <c r="D2" s="29"/>
      <c r="E2" s="30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27" ht="24.95" customHeight="1" thickTop="1" thickBot="1" x14ac:dyDescent="0.4">
      <c r="A3" s="31" t="s">
        <v>15</v>
      </c>
      <c r="B3" s="32">
        <v>2</v>
      </c>
      <c r="C3" s="33"/>
      <c r="D3" s="34" t="s">
        <v>37</v>
      </c>
      <c r="E3" s="35"/>
      <c r="F3" s="36"/>
      <c r="G3" s="33"/>
      <c r="H3" s="265" t="s">
        <v>73</v>
      </c>
      <c r="I3" s="266"/>
      <c r="J3" s="33"/>
      <c r="K3" s="33"/>
      <c r="L3" s="33"/>
      <c r="M3" s="33"/>
      <c r="N3" s="33"/>
      <c r="O3" s="33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</row>
    <row r="4" spans="1:27" ht="24.95" customHeight="1" thickTop="1" thickBot="1" x14ac:dyDescent="0.4">
      <c r="A4" s="38" t="s">
        <v>16</v>
      </c>
      <c r="B4" s="39">
        <v>760</v>
      </c>
      <c r="C4" s="33"/>
      <c r="D4" s="40" t="s">
        <v>38</v>
      </c>
      <c r="E4" s="41"/>
      <c r="F4" s="42"/>
      <c r="G4" s="33"/>
      <c r="H4" s="43" t="s">
        <v>89</v>
      </c>
      <c r="I4" s="44">
        <v>92</v>
      </c>
      <c r="J4" s="33"/>
      <c r="K4" s="33"/>
      <c r="L4" s="33"/>
      <c r="M4" s="33"/>
      <c r="N4" s="33"/>
      <c r="O4" s="33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</row>
    <row r="5" spans="1:27" ht="24.95" customHeight="1" thickTop="1" thickBot="1" x14ac:dyDescent="0.4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</row>
    <row r="6" spans="1:27" ht="24.95" customHeight="1" thickTop="1" thickBot="1" x14ac:dyDescent="0.5">
      <c r="A6" s="45" t="s">
        <v>1</v>
      </c>
      <c r="B6" s="46" t="s">
        <v>39</v>
      </c>
      <c r="C6" s="46" t="s">
        <v>40</v>
      </c>
      <c r="D6" s="46" t="s">
        <v>41</v>
      </c>
      <c r="E6" s="46" t="s">
        <v>42</v>
      </c>
      <c r="F6" s="46" t="s">
        <v>90</v>
      </c>
      <c r="G6" s="46" t="s">
        <v>43</v>
      </c>
      <c r="H6" s="46" t="s">
        <v>44</v>
      </c>
      <c r="I6" s="46" t="s">
        <v>45</v>
      </c>
      <c r="J6" s="46" t="s">
        <v>46</v>
      </c>
      <c r="K6" s="46" t="s">
        <v>91</v>
      </c>
      <c r="L6" s="46" t="s">
        <v>92</v>
      </c>
      <c r="M6" s="46" t="s">
        <v>93</v>
      </c>
      <c r="N6" s="46" t="s">
        <v>32</v>
      </c>
      <c r="O6" s="46" t="s">
        <v>94</v>
      </c>
      <c r="P6" s="46" t="s">
        <v>95</v>
      </c>
      <c r="Q6" s="46" t="s">
        <v>96</v>
      </c>
      <c r="R6" s="46" t="s">
        <v>97</v>
      </c>
      <c r="S6" s="46" t="s">
        <v>98</v>
      </c>
      <c r="T6" s="46" t="s">
        <v>99</v>
      </c>
      <c r="U6" s="46" t="s">
        <v>100</v>
      </c>
      <c r="V6" s="47" t="s">
        <v>71</v>
      </c>
      <c r="W6" s="37"/>
      <c r="X6" s="37"/>
      <c r="Y6" s="37"/>
      <c r="Z6" s="37"/>
      <c r="AA6" s="37"/>
    </row>
    <row r="7" spans="1:27" ht="24.95" customHeight="1" thickTop="1" thickBot="1" x14ac:dyDescent="0.4">
      <c r="A7" s="48" t="s">
        <v>13</v>
      </c>
      <c r="B7" s="49"/>
      <c r="C7" s="49"/>
      <c r="D7" s="49"/>
      <c r="E7" s="50"/>
      <c r="F7" s="51"/>
      <c r="G7" s="52"/>
      <c r="H7" s="53"/>
      <c r="I7" s="49"/>
      <c r="J7" s="49"/>
      <c r="K7" s="54"/>
      <c r="L7" s="53"/>
      <c r="M7" s="53"/>
      <c r="N7" s="55"/>
      <c r="O7" s="56"/>
      <c r="P7" s="56"/>
      <c r="Q7" s="57"/>
      <c r="R7" s="57"/>
      <c r="S7" s="57"/>
      <c r="T7" s="52"/>
      <c r="U7" s="58"/>
      <c r="V7" s="59"/>
      <c r="W7" s="37"/>
      <c r="X7" s="37"/>
      <c r="Y7" s="37"/>
      <c r="Z7" s="37"/>
      <c r="AA7" s="37"/>
    </row>
    <row r="8" spans="1:27" ht="24.95" customHeight="1" thickTop="1" thickBot="1" x14ac:dyDescent="0.4">
      <c r="A8" s="48">
        <v>1</v>
      </c>
      <c r="B8" s="220"/>
      <c r="C8" s="61"/>
      <c r="D8" s="221"/>
      <c r="E8" s="49"/>
      <c r="F8" s="49"/>
      <c r="G8" s="52"/>
      <c r="H8" s="53"/>
      <c r="I8" s="52"/>
      <c r="J8" s="53"/>
      <c r="K8" s="63"/>
      <c r="L8" s="53"/>
      <c r="M8" s="53"/>
      <c r="N8" s="55"/>
      <c r="O8" s="56"/>
      <c r="P8" s="56"/>
      <c r="Q8" s="56"/>
      <c r="R8" s="56"/>
      <c r="S8" s="56"/>
      <c r="T8" s="52"/>
      <c r="U8" s="52"/>
      <c r="V8" s="64"/>
      <c r="W8" s="37"/>
      <c r="X8" s="37"/>
      <c r="Y8" s="37"/>
      <c r="Z8" s="37"/>
      <c r="AA8" s="37"/>
    </row>
    <row r="9" spans="1:27" ht="24.95" customHeight="1" thickTop="1" x14ac:dyDescent="0.35">
      <c r="A9" s="48">
        <v>2</v>
      </c>
      <c r="B9" s="65"/>
      <c r="C9" s="66"/>
      <c r="D9" s="67"/>
      <c r="E9" s="49"/>
      <c r="F9" s="49"/>
      <c r="G9" s="52"/>
      <c r="H9" s="53"/>
      <c r="I9" s="54"/>
      <c r="J9" s="53"/>
      <c r="K9" s="63"/>
      <c r="L9" s="53"/>
      <c r="M9" s="53"/>
      <c r="N9" s="55"/>
      <c r="O9" s="56"/>
      <c r="P9" s="56"/>
      <c r="Q9" s="56"/>
      <c r="R9" s="56"/>
      <c r="S9" s="56"/>
      <c r="T9" s="52"/>
      <c r="U9" s="52"/>
      <c r="V9" s="64"/>
      <c r="W9" s="37"/>
      <c r="X9" s="37"/>
      <c r="Y9" s="37"/>
      <c r="Z9" s="37"/>
      <c r="AA9" s="37"/>
    </row>
    <row r="10" spans="1:27" ht="24.95" customHeight="1" x14ac:dyDescent="0.35">
      <c r="A10" s="48">
        <v>3</v>
      </c>
      <c r="B10" s="65"/>
      <c r="C10" s="66"/>
      <c r="D10" s="67"/>
      <c r="E10" s="49"/>
      <c r="F10" s="49"/>
      <c r="G10" s="52"/>
      <c r="H10" s="53"/>
      <c r="I10" s="63"/>
      <c r="J10" s="53"/>
      <c r="K10" s="63"/>
      <c r="L10" s="53"/>
      <c r="M10" s="53"/>
      <c r="N10" s="55"/>
      <c r="O10" s="56"/>
      <c r="P10" s="56"/>
      <c r="Q10" s="56"/>
      <c r="R10" s="56"/>
      <c r="S10" s="56"/>
      <c r="T10" s="52"/>
      <c r="U10" s="52"/>
      <c r="V10" s="64"/>
      <c r="W10" s="37"/>
      <c r="X10" s="37"/>
      <c r="Y10" s="37"/>
      <c r="Z10" s="37"/>
      <c r="AA10" s="37"/>
    </row>
    <row r="11" spans="1:27" ht="24.95" customHeight="1" x14ac:dyDescent="0.35">
      <c r="A11" s="48">
        <v>4</v>
      </c>
      <c r="B11" s="65"/>
      <c r="C11" s="66"/>
      <c r="D11" s="67"/>
      <c r="E11" s="49"/>
      <c r="F11" s="49"/>
      <c r="G11" s="52"/>
      <c r="H11" s="53"/>
      <c r="I11" s="63"/>
      <c r="J11" s="53"/>
      <c r="K11" s="63"/>
      <c r="L11" s="53"/>
      <c r="M11" s="53"/>
      <c r="N11" s="55"/>
      <c r="O11" s="56"/>
      <c r="P11" s="56"/>
      <c r="Q11" s="56"/>
      <c r="R11" s="56"/>
      <c r="S11" s="56"/>
      <c r="T11" s="52"/>
      <c r="U11" s="52"/>
      <c r="V11" s="64"/>
      <c r="W11" s="37"/>
      <c r="X11" s="37"/>
      <c r="Y11" s="37"/>
      <c r="Z11" s="37"/>
      <c r="AA11" s="37"/>
    </row>
    <row r="12" spans="1:27" ht="24.95" customHeight="1" x14ac:dyDescent="0.35">
      <c r="A12" s="48">
        <v>5</v>
      </c>
      <c r="B12" s="65"/>
      <c r="C12" s="66"/>
      <c r="D12" s="67"/>
      <c r="E12" s="49"/>
      <c r="F12" s="49"/>
      <c r="G12" s="52"/>
      <c r="H12" s="53"/>
      <c r="I12" s="63"/>
      <c r="J12" s="53"/>
      <c r="K12" s="63"/>
      <c r="L12" s="53"/>
      <c r="M12" s="53"/>
      <c r="N12" s="55"/>
      <c r="O12" s="56"/>
      <c r="P12" s="56"/>
      <c r="Q12" s="56"/>
      <c r="R12" s="56"/>
      <c r="S12" s="52"/>
      <c r="T12" s="52"/>
      <c r="U12" s="52"/>
      <c r="V12" s="64"/>
      <c r="W12" s="37"/>
      <c r="X12" s="37"/>
      <c r="Y12" s="37"/>
      <c r="Z12" s="37"/>
      <c r="AA12" s="37"/>
    </row>
    <row r="13" spans="1:27" ht="24.95" customHeight="1" x14ac:dyDescent="0.35">
      <c r="A13" s="48">
        <v>6</v>
      </c>
      <c r="B13" s="65"/>
      <c r="C13" s="66"/>
      <c r="D13" s="67"/>
      <c r="E13" s="49"/>
      <c r="F13" s="49"/>
      <c r="G13" s="52"/>
      <c r="H13" s="53"/>
      <c r="I13" s="63"/>
      <c r="J13" s="53"/>
      <c r="K13" s="63"/>
      <c r="L13" s="53"/>
      <c r="M13" s="53"/>
      <c r="N13" s="55"/>
      <c r="O13" s="56"/>
      <c r="P13" s="56"/>
      <c r="Q13" s="56"/>
      <c r="R13" s="56"/>
      <c r="S13" s="56"/>
      <c r="T13" s="52"/>
      <c r="U13" s="52"/>
      <c r="V13" s="64"/>
      <c r="W13" s="37"/>
      <c r="X13" s="37"/>
      <c r="Y13" s="37"/>
      <c r="Z13" s="37"/>
      <c r="AA13" s="37"/>
    </row>
    <row r="14" spans="1:27" ht="24.95" customHeight="1" x14ac:dyDescent="0.35">
      <c r="A14" s="48">
        <v>7</v>
      </c>
      <c r="B14" s="65"/>
      <c r="C14" s="66"/>
      <c r="D14" s="67"/>
      <c r="E14" s="49"/>
      <c r="F14" s="49"/>
      <c r="G14" s="52"/>
      <c r="H14" s="53"/>
      <c r="I14" s="63"/>
      <c r="J14" s="53"/>
      <c r="K14" s="63"/>
      <c r="L14" s="53"/>
      <c r="M14" s="53"/>
      <c r="N14" s="55"/>
      <c r="O14" s="56"/>
      <c r="P14" s="56"/>
      <c r="Q14" s="56"/>
      <c r="R14" s="56"/>
      <c r="S14" s="56"/>
      <c r="T14" s="52"/>
      <c r="U14" s="52"/>
      <c r="V14" s="64"/>
      <c r="W14" s="37"/>
      <c r="X14" s="37"/>
      <c r="Y14" s="37"/>
      <c r="Z14" s="37"/>
      <c r="AA14" s="37"/>
    </row>
    <row r="15" spans="1:27" ht="24.95" customHeight="1" x14ac:dyDescent="0.35">
      <c r="A15" s="48">
        <v>8</v>
      </c>
      <c r="B15" s="65"/>
      <c r="C15" s="66"/>
      <c r="D15" s="67"/>
      <c r="E15" s="49"/>
      <c r="F15" s="49"/>
      <c r="G15" s="52"/>
      <c r="H15" s="53"/>
      <c r="I15" s="63"/>
      <c r="J15" s="53"/>
      <c r="K15" s="63"/>
      <c r="L15" s="53"/>
      <c r="M15" s="53"/>
      <c r="N15" s="55"/>
      <c r="O15" s="56"/>
      <c r="P15" s="56"/>
      <c r="Q15" s="56"/>
      <c r="R15" s="56"/>
      <c r="S15" s="56"/>
      <c r="T15" s="52"/>
      <c r="U15" s="52"/>
      <c r="V15" s="64"/>
      <c r="W15" s="37"/>
      <c r="X15" s="37"/>
      <c r="Y15" s="37"/>
      <c r="Z15" s="37"/>
      <c r="AA15" s="37"/>
    </row>
    <row r="16" spans="1:27" ht="24.95" customHeight="1" x14ac:dyDescent="0.35">
      <c r="A16" s="48">
        <v>9</v>
      </c>
      <c r="B16" s="65"/>
      <c r="C16" s="66"/>
      <c r="D16" s="67"/>
      <c r="E16" s="49"/>
      <c r="F16" s="49"/>
      <c r="G16" s="52"/>
      <c r="H16" s="53"/>
      <c r="I16" s="63"/>
      <c r="J16" s="53"/>
      <c r="K16" s="63"/>
      <c r="L16" s="53"/>
      <c r="M16" s="53"/>
      <c r="N16" s="55"/>
      <c r="O16" s="56"/>
      <c r="P16" s="56"/>
      <c r="Q16" s="56"/>
      <c r="R16" s="56"/>
      <c r="S16" s="56"/>
      <c r="T16" s="52"/>
      <c r="U16" s="52"/>
      <c r="V16" s="64"/>
      <c r="W16" s="37"/>
      <c r="X16" s="37"/>
      <c r="Y16" s="37"/>
      <c r="Z16" s="37"/>
      <c r="AA16" s="37"/>
    </row>
    <row r="17" spans="1:28" ht="24.95" customHeight="1" thickBot="1" x14ac:dyDescent="0.4">
      <c r="A17" s="48">
        <v>10</v>
      </c>
      <c r="B17" s="68"/>
      <c r="C17" s="69"/>
      <c r="D17" s="70"/>
      <c r="E17" s="49"/>
      <c r="F17" s="49"/>
      <c r="G17" s="52"/>
      <c r="H17" s="53"/>
      <c r="I17" s="63"/>
      <c r="J17" s="53"/>
      <c r="K17" s="63"/>
      <c r="L17" s="53"/>
      <c r="M17" s="53"/>
      <c r="N17" s="55"/>
      <c r="O17" s="56"/>
      <c r="P17" s="56"/>
      <c r="Q17" s="56"/>
      <c r="R17" s="56"/>
      <c r="S17" s="56"/>
      <c r="T17" s="52"/>
      <c r="U17" s="52"/>
      <c r="V17" s="64"/>
      <c r="W17" s="37"/>
      <c r="X17" s="37"/>
      <c r="Y17" s="37"/>
      <c r="Z17" s="37"/>
      <c r="AA17" s="37"/>
    </row>
    <row r="18" spans="1:28" ht="24.95" customHeight="1" thickTop="1" thickBot="1" x14ac:dyDescent="0.4">
      <c r="A18" s="48" t="s">
        <v>14</v>
      </c>
      <c r="B18" s="49"/>
      <c r="C18" s="49"/>
      <c r="D18" s="49"/>
      <c r="E18" s="49"/>
      <c r="F18" s="49"/>
      <c r="G18" s="52"/>
      <c r="H18" s="53"/>
      <c r="I18" s="71"/>
      <c r="J18" s="53"/>
      <c r="K18" s="71"/>
      <c r="L18" s="53"/>
      <c r="M18" s="53"/>
      <c r="N18" s="55"/>
      <c r="O18" s="56"/>
      <c r="P18" s="56"/>
      <c r="Q18" s="56"/>
      <c r="R18" s="56"/>
      <c r="S18" s="56"/>
      <c r="T18" s="52"/>
      <c r="U18" s="52"/>
      <c r="V18" s="59"/>
      <c r="W18" s="37"/>
      <c r="X18" s="37"/>
      <c r="Y18" s="37"/>
      <c r="Z18" s="37"/>
      <c r="AA18" s="37"/>
    </row>
    <row r="19" spans="1:28" ht="24.95" customHeight="1" thickTop="1" x14ac:dyDescent="0.45">
      <c r="A19" s="48" t="s">
        <v>88</v>
      </c>
      <c r="B19" s="49"/>
      <c r="C19" s="49"/>
      <c r="D19" s="49"/>
      <c r="E19" s="49"/>
      <c r="F19" s="49"/>
      <c r="G19" s="72" t="s">
        <v>101</v>
      </c>
      <c r="H19" s="53"/>
      <c r="I19" s="73"/>
      <c r="J19" s="73"/>
      <c r="K19" s="49"/>
      <c r="L19" s="49"/>
      <c r="M19" s="49"/>
      <c r="N19" s="49"/>
      <c r="O19" s="73"/>
      <c r="P19" s="74"/>
      <c r="Q19" s="74"/>
      <c r="R19" s="74"/>
      <c r="S19" s="74"/>
      <c r="T19" s="74"/>
      <c r="U19" s="74"/>
      <c r="V19" s="75"/>
      <c r="W19" s="37"/>
      <c r="X19" s="37"/>
      <c r="Y19" s="37"/>
      <c r="Z19" s="37"/>
      <c r="AA19" s="37"/>
    </row>
    <row r="20" spans="1:28" ht="24.95" customHeight="1" thickBot="1" x14ac:dyDescent="0.4">
      <c r="A20" s="76"/>
      <c r="B20" s="77"/>
      <c r="C20" s="77"/>
      <c r="D20" s="77"/>
      <c r="E20" s="77"/>
      <c r="F20" s="77"/>
      <c r="G20" s="78" t="s">
        <v>165</v>
      </c>
      <c r="H20" s="217"/>
      <c r="I20" s="80"/>
      <c r="J20" s="80"/>
      <c r="K20" s="77"/>
      <c r="L20" s="77"/>
      <c r="M20" s="77"/>
      <c r="N20" s="77"/>
      <c r="O20" s="80"/>
      <c r="P20" s="81"/>
      <c r="Q20" s="81"/>
      <c r="R20" s="81"/>
      <c r="S20" s="81"/>
      <c r="T20" s="81"/>
      <c r="U20" s="81"/>
      <c r="V20" s="82"/>
      <c r="W20" s="37"/>
      <c r="X20" s="37"/>
      <c r="Y20" s="37"/>
      <c r="Z20" s="37"/>
      <c r="AA20" s="37"/>
    </row>
    <row r="21" spans="1:28" ht="24.95" customHeight="1" thickTop="1" thickBot="1" x14ac:dyDescent="0.4">
      <c r="A21" s="83"/>
      <c r="B21" s="83"/>
      <c r="C21" s="83"/>
      <c r="D21" s="83"/>
      <c r="E21" s="83"/>
      <c r="F21" s="83"/>
      <c r="G21" s="84"/>
      <c r="H21" s="85"/>
      <c r="I21" s="86"/>
      <c r="J21" s="86"/>
      <c r="K21" s="83"/>
      <c r="L21" s="83"/>
      <c r="M21" s="83"/>
      <c r="N21" s="83"/>
      <c r="O21" s="33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</row>
    <row r="22" spans="1:28" ht="24.95" customHeight="1" thickTop="1" x14ac:dyDescent="0.55000000000000004">
      <c r="A22" s="87" t="s">
        <v>5</v>
      </c>
      <c r="B22" s="88"/>
      <c r="C22" s="88"/>
      <c r="D22" s="89"/>
      <c r="E22" s="262" t="s">
        <v>102</v>
      </c>
      <c r="F22" s="263"/>
      <c r="G22" s="263"/>
      <c r="H22" s="264"/>
      <c r="I22" s="262" t="s">
        <v>103</v>
      </c>
      <c r="J22" s="264"/>
      <c r="K22" s="218" t="s">
        <v>104</v>
      </c>
      <c r="L22" s="218" t="s">
        <v>105</v>
      </c>
      <c r="M22" s="218" t="s">
        <v>65</v>
      </c>
      <c r="N22" s="218" t="s">
        <v>106</v>
      </c>
      <c r="O22" s="219" t="s">
        <v>66</v>
      </c>
      <c r="Q22" s="226" t="s">
        <v>111</v>
      </c>
      <c r="R22" s="88"/>
      <c r="S22" s="227"/>
      <c r="T22" s="228"/>
      <c r="U22" s="144"/>
      <c r="V22" s="144"/>
      <c r="W22" s="227"/>
      <c r="X22" s="229"/>
      <c r="Y22" s="33"/>
      <c r="Z22" s="33"/>
      <c r="AA22" s="37"/>
    </row>
    <row r="23" spans="1:28" ht="24.95" customHeight="1" x14ac:dyDescent="0.4">
      <c r="A23" s="95"/>
      <c r="B23" s="96" t="s">
        <v>8</v>
      </c>
      <c r="C23" s="96" t="s">
        <v>9</v>
      </c>
      <c r="D23" s="97" t="s">
        <v>10</v>
      </c>
      <c r="E23" s="98" t="s">
        <v>67</v>
      </c>
      <c r="F23" s="98" t="s">
        <v>68</v>
      </c>
      <c r="G23" s="98" t="s">
        <v>69</v>
      </c>
      <c r="H23" s="98" t="s">
        <v>70</v>
      </c>
      <c r="I23" s="99" t="s">
        <v>67</v>
      </c>
      <c r="J23" s="100" t="s">
        <v>68</v>
      </c>
      <c r="K23" s="98"/>
      <c r="L23" s="98"/>
      <c r="M23" s="98"/>
      <c r="N23" s="101"/>
      <c r="O23" s="102"/>
      <c r="Q23" s="230" t="s">
        <v>108</v>
      </c>
      <c r="R23" s="132"/>
      <c r="S23" s="207"/>
      <c r="T23" s="208"/>
      <c r="U23" s="96"/>
      <c r="V23" s="225"/>
      <c r="W23" s="207"/>
      <c r="X23" s="231"/>
      <c r="Y23" s="33"/>
      <c r="Z23" s="33"/>
      <c r="AA23" s="37"/>
    </row>
    <row r="24" spans="1:28" ht="24.95" customHeight="1" thickBot="1" x14ac:dyDescent="0.6">
      <c r="A24" s="95" t="s">
        <v>6</v>
      </c>
      <c r="B24" s="96">
        <v>6.8927199999999997</v>
      </c>
      <c r="C24" s="96">
        <v>1203.5309999999999</v>
      </c>
      <c r="D24" s="97">
        <v>219.88800000000001</v>
      </c>
      <c r="E24" s="103">
        <v>7.4060000000000001E-2</v>
      </c>
      <c r="F24" s="103">
        <v>3.2949999999999999E-4</v>
      </c>
      <c r="G24" s="103">
        <v>-2.5199999999999998E-7</v>
      </c>
      <c r="H24" s="103">
        <v>7.7569999999999997E-11</v>
      </c>
      <c r="I24" s="104">
        <v>0.1265</v>
      </c>
      <c r="J24" s="105">
        <v>2.34E-4</v>
      </c>
      <c r="K24" s="106">
        <v>80.099999999999994</v>
      </c>
      <c r="L24" s="107">
        <v>30.765000000000001</v>
      </c>
      <c r="M24" s="106">
        <v>78.11</v>
      </c>
      <c r="N24" s="98">
        <v>879</v>
      </c>
      <c r="O24" s="108">
        <f>+M24/N24</f>
        <v>8.8862343572241181E-2</v>
      </c>
      <c r="Q24" s="232" t="s">
        <v>110</v>
      </c>
      <c r="R24" s="233"/>
      <c r="S24" s="234"/>
      <c r="T24" s="235"/>
      <c r="U24" s="111"/>
      <c r="V24" s="236"/>
      <c r="W24" s="237"/>
      <c r="X24" s="134"/>
      <c r="Y24" s="33"/>
      <c r="Z24" s="33"/>
      <c r="AA24" s="37"/>
    </row>
    <row r="25" spans="1:28" ht="24.95" customHeight="1" thickTop="1" thickBot="1" x14ac:dyDescent="0.4">
      <c r="A25" s="110" t="s">
        <v>7</v>
      </c>
      <c r="B25" s="111">
        <v>6.9580500000000001</v>
      </c>
      <c r="C25" s="111">
        <v>1346.7729999999999</v>
      </c>
      <c r="D25" s="222">
        <v>219.69300000000001</v>
      </c>
      <c r="E25" s="113">
        <v>9.418E-2</v>
      </c>
      <c r="F25" s="113">
        <v>3.8000000000000002E-4</v>
      </c>
      <c r="G25" s="113">
        <v>-2.7860000000000002E-7</v>
      </c>
      <c r="H25" s="113">
        <v>8.0329999999999996E-11</v>
      </c>
      <c r="I25" s="114">
        <v>0.14879999999999999</v>
      </c>
      <c r="J25" s="115">
        <v>3.2400000000000001E-4</v>
      </c>
      <c r="K25" s="116">
        <v>110.62</v>
      </c>
      <c r="L25" s="117">
        <v>33.47</v>
      </c>
      <c r="M25" s="116">
        <v>92.13</v>
      </c>
      <c r="N25" s="118">
        <v>866</v>
      </c>
      <c r="O25" s="119">
        <f>+M25/N25</f>
        <v>0.10638568129330253</v>
      </c>
      <c r="P25" s="33"/>
      <c r="Q25" s="83"/>
      <c r="R25" s="109"/>
      <c r="S25" s="92"/>
      <c r="T25" s="93"/>
      <c r="U25" s="223"/>
      <c r="V25" s="223"/>
      <c r="W25" s="93"/>
      <c r="X25" s="33"/>
      <c r="Y25" s="33"/>
      <c r="Z25" s="33"/>
      <c r="AA25" s="37"/>
    </row>
    <row r="26" spans="1:28" ht="24.95" customHeight="1" thickTop="1" x14ac:dyDescent="0.35">
      <c r="A26" s="33"/>
      <c r="B26" s="33"/>
      <c r="C26" s="33"/>
      <c r="D26" s="33"/>
      <c r="E26" s="33"/>
      <c r="F26" s="33"/>
      <c r="G26" s="33"/>
      <c r="H26" s="33"/>
      <c r="I26" s="33"/>
      <c r="J26" s="92"/>
      <c r="K26" s="33"/>
      <c r="L26" s="33"/>
      <c r="M26" s="33"/>
      <c r="N26" s="33"/>
      <c r="O26" s="33"/>
      <c r="P26" s="33"/>
      <c r="Q26" s="83"/>
      <c r="R26" s="120"/>
      <c r="S26" s="92"/>
      <c r="T26" s="93"/>
      <c r="U26" s="223"/>
      <c r="V26" s="223"/>
      <c r="W26" s="93"/>
      <c r="X26" s="33"/>
      <c r="Y26" s="33"/>
      <c r="Z26" s="33"/>
      <c r="AA26" s="37"/>
    </row>
    <row r="27" spans="1:28" ht="24.95" customHeight="1" x14ac:dyDescent="0.35">
      <c r="A27" s="86"/>
      <c r="B27" s="86"/>
      <c r="C27" s="84"/>
      <c r="D27" s="86"/>
      <c r="E27" s="288"/>
      <c r="F27" s="288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3"/>
      <c r="R27" s="122"/>
      <c r="S27" s="84"/>
      <c r="T27" s="238"/>
      <c r="U27" s="83"/>
      <c r="V27" s="83"/>
      <c r="W27" s="238"/>
      <c r="X27" s="86"/>
      <c r="Y27" s="86"/>
      <c r="Z27" s="86"/>
      <c r="AA27" s="239"/>
      <c r="AB27" s="240"/>
    </row>
    <row r="28" spans="1:28" ht="24.95" customHeight="1" x14ac:dyDescent="0.35">
      <c r="A28" s="83"/>
      <c r="B28" s="83"/>
      <c r="C28" s="83"/>
      <c r="D28" s="238"/>
      <c r="E28" s="83"/>
      <c r="F28" s="83"/>
      <c r="G28" s="86"/>
      <c r="H28" s="83"/>
      <c r="I28" s="83"/>
      <c r="J28" s="83"/>
      <c r="K28" s="83"/>
      <c r="L28" s="83"/>
      <c r="M28" s="83"/>
      <c r="N28" s="86"/>
      <c r="O28" s="86"/>
      <c r="P28" s="86"/>
      <c r="Q28" s="86"/>
      <c r="R28" s="86"/>
      <c r="S28" s="84"/>
      <c r="T28" s="238"/>
      <c r="U28" s="83"/>
      <c r="V28" s="83"/>
      <c r="W28" s="238"/>
      <c r="X28" s="86"/>
      <c r="Y28" s="86"/>
      <c r="Z28" s="86"/>
      <c r="AA28" s="239"/>
      <c r="AB28" s="240"/>
    </row>
    <row r="29" spans="1:28" ht="24.95" customHeight="1" x14ac:dyDescent="0.35">
      <c r="A29" s="83"/>
      <c r="B29" s="85"/>
      <c r="C29" s="85"/>
      <c r="D29" s="83"/>
      <c r="E29" s="85"/>
      <c r="F29" s="85"/>
      <c r="G29" s="86"/>
      <c r="H29" s="241"/>
      <c r="I29" s="242"/>
      <c r="J29" s="242"/>
      <c r="K29" s="241"/>
      <c r="L29" s="120"/>
      <c r="M29" s="241"/>
      <c r="N29" s="86"/>
      <c r="O29" s="239"/>
      <c r="P29" s="239"/>
      <c r="Q29" s="239"/>
      <c r="R29" s="239"/>
      <c r="S29" s="239"/>
      <c r="T29" s="239"/>
      <c r="U29" s="239"/>
      <c r="V29" s="239"/>
      <c r="W29" s="239"/>
      <c r="X29" s="239"/>
      <c r="Y29" s="239"/>
      <c r="Z29" s="239"/>
      <c r="AA29" s="239"/>
      <c r="AB29" s="240"/>
    </row>
    <row r="30" spans="1:28" ht="24.95" customHeight="1" x14ac:dyDescent="0.35">
      <c r="A30" s="83"/>
      <c r="B30" s="85"/>
      <c r="C30" s="85"/>
      <c r="D30" s="86"/>
      <c r="E30" s="85"/>
      <c r="F30" s="85"/>
      <c r="G30" s="86"/>
      <c r="H30" s="241"/>
      <c r="I30" s="242"/>
      <c r="J30" s="242"/>
      <c r="K30" s="241"/>
      <c r="L30" s="120"/>
      <c r="M30" s="241"/>
      <c r="N30" s="86"/>
      <c r="O30" s="86"/>
      <c r="P30" s="239"/>
      <c r="Q30" s="239"/>
      <c r="R30" s="239"/>
      <c r="S30" s="239"/>
      <c r="T30" s="239"/>
      <c r="U30" s="239"/>
      <c r="V30" s="239"/>
      <c r="W30" s="239"/>
      <c r="X30" s="239"/>
      <c r="Y30" s="239"/>
      <c r="Z30" s="239"/>
      <c r="AA30" s="239"/>
      <c r="AB30" s="240"/>
    </row>
    <row r="31" spans="1:28" ht="24.95" customHeight="1" x14ac:dyDescent="0.35">
      <c r="A31" s="83"/>
      <c r="B31" s="85"/>
      <c r="C31" s="85"/>
      <c r="D31" s="86"/>
      <c r="E31" s="85"/>
      <c r="F31" s="85"/>
      <c r="G31" s="86"/>
      <c r="H31" s="241"/>
      <c r="I31" s="242"/>
      <c r="J31" s="242"/>
      <c r="K31" s="241"/>
      <c r="L31" s="120"/>
      <c r="M31" s="241"/>
      <c r="N31" s="86"/>
      <c r="O31" s="86"/>
      <c r="P31" s="86"/>
      <c r="Q31" s="86"/>
      <c r="R31" s="86"/>
      <c r="S31" s="85"/>
      <c r="T31" s="85"/>
      <c r="U31" s="86"/>
      <c r="V31" s="86"/>
      <c r="W31" s="86"/>
      <c r="X31" s="86"/>
      <c r="Y31" s="86"/>
      <c r="Z31" s="86"/>
      <c r="AA31" s="239"/>
      <c r="AB31" s="240"/>
    </row>
    <row r="32" spans="1:28" ht="24.95" customHeight="1" x14ac:dyDescent="0.35">
      <c r="A32" s="83"/>
      <c r="B32" s="85"/>
      <c r="C32" s="85"/>
      <c r="D32" s="86"/>
      <c r="E32" s="85"/>
      <c r="F32" s="85"/>
      <c r="G32" s="86"/>
      <c r="H32" s="241"/>
      <c r="I32" s="242"/>
      <c r="J32" s="242"/>
      <c r="K32" s="241"/>
      <c r="L32" s="120"/>
      <c r="M32" s="241"/>
      <c r="N32" s="86"/>
      <c r="O32" s="83"/>
      <c r="P32" s="243"/>
      <c r="Q32" s="243"/>
      <c r="R32" s="243"/>
      <c r="S32" s="243"/>
      <c r="T32" s="243"/>
      <c r="U32" s="243"/>
      <c r="V32" s="83"/>
      <c r="W32" s="83"/>
      <c r="X32" s="83"/>
      <c r="Y32" s="83"/>
      <c r="Z32" s="83"/>
      <c r="AA32" s="239"/>
      <c r="AB32" s="240"/>
    </row>
    <row r="33" spans="1:28" ht="24.95" customHeight="1" x14ac:dyDescent="0.35">
      <c r="A33" s="83"/>
      <c r="B33" s="85"/>
      <c r="C33" s="85"/>
      <c r="D33" s="86"/>
      <c r="E33" s="85"/>
      <c r="F33" s="85"/>
      <c r="G33" s="86"/>
      <c r="H33" s="241"/>
      <c r="I33" s="242"/>
      <c r="J33" s="242"/>
      <c r="K33" s="241"/>
      <c r="L33" s="120"/>
      <c r="M33" s="241"/>
      <c r="N33" s="86"/>
      <c r="O33" s="239"/>
      <c r="P33" s="243"/>
      <c r="Q33" s="243"/>
      <c r="R33" s="83"/>
      <c r="S33" s="83"/>
      <c r="T33" s="83"/>
      <c r="U33" s="83"/>
      <c r="V33" s="83"/>
      <c r="W33" s="83"/>
      <c r="X33" s="83"/>
      <c r="Y33" s="83"/>
      <c r="Z33" s="83"/>
      <c r="AA33" s="239"/>
      <c r="AB33" s="240"/>
    </row>
    <row r="34" spans="1:28" ht="24.95" customHeight="1" x14ac:dyDescent="0.35">
      <c r="A34" s="83"/>
      <c r="B34" s="85"/>
      <c r="C34" s="85"/>
      <c r="D34" s="86"/>
      <c r="E34" s="85"/>
      <c r="F34" s="85"/>
      <c r="G34" s="86"/>
      <c r="H34" s="241"/>
      <c r="I34" s="242"/>
      <c r="J34" s="242"/>
      <c r="K34" s="241"/>
      <c r="L34" s="120"/>
      <c r="M34" s="241"/>
      <c r="N34" s="86"/>
      <c r="O34" s="83"/>
      <c r="P34" s="243"/>
      <c r="Q34" s="243"/>
      <c r="R34" s="244"/>
      <c r="S34" s="244"/>
      <c r="T34" s="83"/>
      <c r="U34" s="245"/>
      <c r="V34" s="83"/>
      <c r="W34" s="245"/>
      <c r="X34" s="83"/>
      <c r="Y34" s="83"/>
      <c r="Z34" s="120"/>
      <c r="AA34" s="239"/>
      <c r="AB34" s="240"/>
    </row>
    <row r="35" spans="1:28" ht="24.95" customHeight="1" x14ac:dyDescent="0.35">
      <c r="A35" s="83"/>
      <c r="B35" s="85"/>
      <c r="C35" s="85"/>
      <c r="D35" s="86"/>
      <c r="E35" s="85"/>
      <c r="F35" s="85"/>
      <c r="G35" s="86"/>
      <c r="H35" s="241"/>
      <c r="I35" s="242"/>
      <c r="J35" s="242"/>
      <c r="K35" s="241"/>
      <c r="L35" s="120"/>
      <c r="M35" s="241"/>
      <c r="N35" s="86"/>
      <c r="O35" s="83"/>
      <c r="P35" s="243"/>
      <c r="Q35" s="83"/>
      <c r="R35" s="244"/>
      <c r="S35" s="244"/>
      <c r="T35" s="245"/>
      <c r="U35" s="245"/>
      <c r="V35" s="83"/>
      <c r="W35" s="245"/>
      <c r="X35" s="83"/>
      <c r="Y35" s="245"/>
      <c r="Z35" s="120"/>
      <c r="AA35" s="239"/>
      <c r="AB35" s="240"/>
    </row>
    <row r="36" spans="1:28" ht="24.95" customHeight="1" x14ac:dyDescent="0.35">
      <c r="A36" s="83"/>
      <c r="B36" s="85"/>
      <c r="C36" s="85"/>
      <c r="D36" s="86"/>
      <c r="E36" s="85"/>
      <c r="F36" s="85"/>
      <c r="G36" s="86"/>
      <c r="H36" s="241"/>
      <c r="I36" s="242"/>
      <c r="J36" s="242"/>
      <c r="K36" s="241"/>
      <c r="L36" s="120"/>
      <c r="M36" s="241"/>
      <c r="N36" s="86"/>
      <c r="O36" s="83"/>
      <c r="P36" s="243"/>
      <c r="Q36" s="83"/>
      <c r="R36" s="244"/>
      <c r="S36" s="244"/>
      <c r="T36" s="245"/>
      <c r="U36" s="245"/>
      <c r="V36" s="83"/>
      <c r="W36" s="245"/>
      <c r="X36" s="83"/>
      <c r="Y36" s="245"/>
      <c r="Z36" s="120"/>
      <c r="AA36" s="239"/>
      <c r="AB36" s="240"/>
    </row>
    <row r="37" spans="1:28" ht="24.95" customHeight="1" x14ac:dyDescent="0.35">
      <c r="A37" s="83"/>
      <c r="B37" s="85"/>
      <c r="C37" s="85"/>
      <c r="D37" s="86"/>
      <c r="E37" s="85"/>
      <c r="F37" s="85"/>
      <c r="G37" s="86"/>
      <c r="H37" s="241"/>
      <c r="I37" s="242"/>
      <c r="J37" s="242"/>
      <c r="K37" s="241"/>
      <c r="L37" s="120"/>
      <c r="M37" s="241"/>
      <c r="N37" s="86"/>
      <c r="O37" s="83"/>
      <c r="P37" s="243"/>
      <c r="Q37" s="83"/>
      <c r="R37" s="244"/>
      <c r="S37" s="244"/>
      <c r="T37" s="245"/>
      <c r="U37" s="245"/>
      <c r="V37" s="83"/>
      <c r="W37" s="245"/>
      <c r="X37" s="83"/>
      <c r="Y37" s="245"/>
      <c r="Z37" s="120"/>
      <c r="AA37" s="239"/>
      <c r="AB37" s="240"/>
    </row>
    <row r="38" spans="1:28" ht="24.95" customHeight="1" x14ac:dyDescent="0.35">
      <c r="A38" s="83"/>
      <c r="B38" s="85"/>
      <c r="C38" s="85"/>
      <c r="D38" s="86"/>
      <c r="E38" s="85"/>
      <c r="F38" s="85"/>
      <c r="G38" s="86"/>
      <c r="H38" s="241"/>
      <c r="I38" s="242"/>
      <c r="J38" s="242"/>
      <c r="K38" s="241"/>
      <c r="L38" s="120"/>
      <c r="M38" s="241"/>
      <c r="N38" s="86"/>
      <c r="O38" s="83"/>
      <c r="P38" s="243"/>
      <c r="Q38" s="83"/>
      <c r="R38" s="244"/>
      <c r="S38" s="244"/>
      <c r="T38" s="245"/>
      <c r="U38" s="245"/>
      <c r="V38" s="83"/>
      <c r="W38" s="245"/>
      <c r="X38" s="83"/>
      <c r="Y38" s="245"/>
      <c r="Z38" s="120"/>
      <c r="AA38" s="239"/>
      <c r="AB38" s="240"/>
    </row>
    <row r="39" spans="1:28" ht="24.95" customHeight="1" x14ac:dyDescent="0.35">
      <c r="A39" s="83"/>
      <c r="B39" s="85"/>
      <c r="C39" s="85"/>
      <c r="D39" s="86"/>
      <c r="E39" s="85"/>
      <c r="F39" s="85"/>
      <c r="G39" s="86"/>
      <c r="H39" s="241"/>
      <c r="I39" s="242"/>
      <c r="J39" s="242"/>
      <c r="K39" s="241"/>
      <c r="L39" s="120"/>
      <c r="M39" s="241"/>
      <c r="N39" s="86"/>
      <c r="O39" s="83"/>
      <c r="P39" s="243"/>
      <c r="Q39" s="83"/>
      <c r="R39" s="244"/>
      <c r="S39" s="244"/>
      <c r="T39" s="245"/>
      <c r="U39" s="245"/>
      <c r="V39" s="83"/>
      <c r="W39" s="245"/>
      <c r="X39" s="83"/>
      <c r="Y39" s="245"/>
      <c r="Z39" s="120"/>
      <c r="AA39" s="239"/>
      <c r="AB39" s="240"/>
    </row>
    <row r="40" spans="1:28" ht="24.95" customHeight="1" x14ac:dyDescent="0.35">
      <c r="A40" s="86"/>
      <c r="B40" s="86"/>
      <c r="C40" s="86"/>
      <c r="D40" s="86"/>
      <c r="E40" s="85"/>
      <c r="F40" s="85"/>
      <c r="G40" s="86"/>
      <c r="H40" s="241"/>
      <c r="I40" s="242"/>
      <c r="J40" s="242"/>
      <c r="K40" s="241"/>
      <c r="L40" s="120"/>
      <c r="M40" s="241"/>
      <c r="N40" s="86"/>
      <c r="O40" s="83"/>
      <c r="P40" s="243"/>
      <c r="Q40" s="83"/>
      <c r="R40" s="244"/>
      <c r="S40" s="244"/>
      <c r="T40" s="245"/>
      <c r="U40" s="245"/>
      <c r="V40" s="83"/>
      <c r="W40" s="245"/>
      <c r="X40" s="83"/>
      <c r="Y40" s="245"/>
      <c r="Z40" s="120"/>
      <c r="AA40" s="239"/>
      <c r="AB40" s="240"/>
    </row>
    <row r="41" spans="1:28" ht="24.95" customHeight="1" x14ac:dyDescent="0.35">
      <c r="A41" s="83"/>
      <c r="B41" s="83"/>
      <c r="C41" s="83"/>
      <c r="D41" s="86"/>
      <c r="E41" s="85"/>
      <c r="F41" s="85"/>
      <c r="G41" s="86"/>
      <c r="H41" s="86"/>
      <c r="I41" s="86"/>
      <c r="J41" s="86"/>
      <c r="K41" s="86"/>
      <c r="L41" s="86"/>
      <c r="M41" s="86"/>
      <c r="N41" s="86"/>
      <c r="O41" s="83"/>
      <c r="P41" s="243"/>
      <c r="Q41" s="83"/>
      <c r="R41" s="244"/>
      <c r="S41" s="244"/>
      <c r="T41" s="245"/>
      <c r="U41" s="245"/>
      <c r="V41" s="83"/>
      <c r="W41" s="245"/>
      <c r="X41" s="83"/>
      <c r="Y41" s="245"/>
      <c r="Z41" s="120"/>
      <c r="AA41" s="239"/>
      <c r="AB41" s="240"/>
    </row>
    <row r="42" spans="1:28" ht="24.95" customHeight="1" x14ac:dyDescent="0.35">
      <c r="A42" s="83"/>
      <c r="B42" s="83"/>
      <c r="C42" s="83"/>
      <c r="D42" s="86"/>
      <c r="E42" s="85"/>
      <c r="F42" s="85"/>
      <c r="G42" s="86"/>
      <c r="H42" s="86"/>
      <c r="I42" s="86"/>
      <c r="J42" s="86"/>
      <c r="K42" s="86"/>
      <c r="L42" s="86"/>
      <c r="M42" s="86"/>
      <c r="N42" s="86"/>
      <c r="O42" s="83"/>
      <c r="P42" s="243"/>
      <c r="Q42" s="83"/>
      <c r="R42" s="244"/>
      <c r="S42" s="244"/>
      <c r="T42" s="245"/>
      <c r="U42" s="245"/>
      <c r="V42" s="83"/>
      <c r="W42" s="245"/>
      <c r="X42" s="83"/>
      <c r="Y42" s="245"/>
      <c r="Z42" s="120"/>
      <c r="AA42" s="239"/>
      <c r="AB42" s="240"/>
    </row>
    <row r="43" spans="1:28" ht="24.95" customHeight="1" x14ac:dyDescent="0.35">
      <c r="A43" s="83"/>
      <c r="B43" s="83"/>
      <c r="C43" s="83"/>
      <c r="D43" s="86"/>
      <c r="E43" s="85"/>
      <c r="F43" s="85"/>
      <c r="G43" s="86"/>
      <c r="H43" s="86"/>
      <c r="I43" s="86"/>
      <c r="J43" s="86"/>
      <c r="K43" s="86"/>
      <c r="L43" s="86"/>
      <c r="M43" s="86"/>
      <c r="N43" s="86"/>
      <c r="O43" s="83"/>
      <c r="P43" s="243"/>
      <c r="Q43" s="83"/>
      <c r="R43" s="244"/>
      <c r="S43" s="244"/>
      <c r="T43" s="245"/>
      <c r="U43" s="245"/>
      <c r="V43" s="83"/>
      <c r="W43" s="245"/>
      <c r="X43" s="83"/>
      <c r="Y43" s="245"/>
      <c r="Z43" s="120"/>
      <c r="AA43" s="239"/>
      <c r="AB43" s="240"/>
    </row>
    <row r="44" spans="1:28" ht="24.95" customHeight="1" x14ac:dyDescent="0.35">
      <c r="A44" s="83"/>
      <c r="B44" s="83"/>
      <c r="C44" s="83"/>
      <c r="D44" s="86"/>
      <c r="E44" s="85"/>
      <c r="F44" s="85"/>
      <c r="G44" s="86"/>
      <c r="H44" s="86"/>
      <c r="I44" s="86"/>
      <c r="J44" s="86"/>
      <c r="K44" s="86"/>
      <c r="L44" s="86"/>
      <c r="M44" s="86"/>
      <c r="N44" s="86"/>
      <c r="O44" s="83"/>
      <c r="P44" s="243"/>
      <c r="Q44" s="83"/>
      <c r="R44" s="244"/>
      <c r="S44" s="244"/>
      <c r="T44" s="245"/>
      <c r="U44" s="245"/>
      <c r="V44" s="83"/>
      <c r="W44" s="245"/>
      <c r="X44" s="83"/>
      <c r="Y44" s="245"/>
      <c r="Z44" s="120"/>
      <c r="AA44" s="239"/>
      <c r="AB44" s="240"/>
    </row>
    <row r="45" spans="1:28" ht="24.95" customHeight="1" x14ac:dyDescent="0.35">
      <c r="A45" s="83"/>
      <c r="B45" s="85"/>
      <c r="C45" s="83"/>
      <c r="D45" s="86"/>
      <c r="E45" s="85"/>
      <c r="F45" s="85"/>
      <c r="G45" s="86"/>
      <c r="H45" s="86"/>
      <c r="I45" s="86"/>
      <c r="J45" s="86"/>
      <c r="K45" s="86"/>
      <c r="L45" s="86"/>
      <c r="M45" s="86"/>
      <c r="N45" s="86"/>
      <c r="O45" s="83"/>
      <c r="P45" s="243"/>
      <c r="Q45" s="243"/>
      <c r="R45" s="244"/>
      <c r="S45" s="244"/>
      <c r="T45" s="245"/>
      <c r="U45" s="245"/>
      <c r="V45" s="83"/>
      <c r="W45" s="245"/>
      <c r="X45" s="83"/>
      <c r="Y45" s="245"/>
      <c r="Z45" s="120"/>
      <c r="AA45" s="239"/>
      <c r="AB45" s="240"/>
    </row>
    <row r="46" spans="1:28" ht="24.95" customHeight="1" x14ac:dyDescent="0.35">
      <c r="A46" s="83"/>
      <c r="B46" s="83"/>
      <c r="C46" s="83"/>
      <c r="D46" s="86"/>
      <c r="E46" s="85"/>
      <c r="F46" s="85"/>
      <c r="G46" s="86"/>
      <c r="H46" s="86"/>
      <c r="I46" s="86"/>
      <c r="J46" s="86"/>
      <c r="K46" s="86"/>
      <c r="L46" s="86"/>
      <c r="M46" s="86"/>
      <c r="N46" s="86"/>
      <c r="O46" s="86"/>
      <c r="P46" s="239"/>
      <c r="Q46" s="239"/>
      <c r="R46" s="239"/>
      <c r="S46" s="239"/>
      <c r="T46" s="239"/>
      <c r="U46" s="239"/>
      <c r="V46" s="239"/>
      <c r="W46" s="239"/>
      <c r="X46" s="239"/>
      <c r="Y46" s="239"/>
      <c r="Z46" s="239"/>
      <c r="AA46" s="239"/>
      <c r="AB46" s="240"/>
    </row>
    <row r="47" spans="1:28" ht="24.95" customHeight="1" x14ac:dyDescent="0.35">
      <c r="A47" s="83"/>
      <c r="B47" s="83"/>
      <c r="C47" s="83"/>
      <c r="D47" s="86"/>
      <c r="E47" s="85"/>
      <c r="F47" s="85"/>
      <c r="G47" s="86"/>
      <c r="H47" s="86"/>
      <c r="I47" s="86"/>
      <c r="J47" s="86"/>
      <c r="K47" s="86"/>
      <c r="L47" s="86"/>
      <c r="M47" s="86"/>
      <c r="N47" s="86"/>
      <c r="O47" s="86"/>
      <c r="P47" s="239"/>
      <c r="Q47" s="246"/>
      <c r="R47" s="246"/>
      <c r="S47" s="246"/>
      <c r="T47" s="246"/>
      <c r="U47" s="246"/>
      <c r="V47" s="246"/>
      <c r="W47" s="246"/>
      <c r="X47" s="246"/>
      <c r="Y47" s="239"/>
      <c r="Z47" s="239"/>
      <c r="AA47" s="239"/>
      <c r="AB47" s="240"/>
    </row>
    <row r="48" spans="1:28" ht="24.95" customHeight="1" x14ac:dyDescent="0.35">
      <c r="A48" s="86"/>
      <c r="B48" s="86"/>
      <c r="C48" s="86"/>
      <c r="D48" s="86"/>
      <c r="E48" s="85"/>
      <c r="F48" s="85"/>
      <c r="G48" s="86"/>
      <c r="H48" s="86"/>
      <c r="I48" s="86"/>
      <c r="J48" s="86"/>
      <c r="K48" s="86"/>
      <c r="L48" s="86"/>
      <c r="M48" s="86"/>
      <c r="N48" s="86"/>
      <c r="O48" s="86"/>
      <c r="P48" s="239"/>
      <c r="Q48" s="247"/>
      <c r="R48" s="248"/>
      <c r="S48" s="247"/>
      <c r="T48" s="247"/>
      <c r="U48" s="249"/>
      <c r="V48" s="246"/>
      <c r="W48" s="246"/>
      <c r="X48" s="246"/>
      <c r="Y48" s="239"/>
      <c r="Z48" s="239"/>
      <c r="AA48" s="239"/>
      <c r="AB48" s="240"/>
    </row>
    <row r="49" spans="1:28" ht="24.95" customHeight="1" x14ac:dyDescent="0.35">
      <c r="A49" s="86"/>
      <c r="B49" s="85"/>
      <c r="C49" s="86"/>
      <c r="D49" s="86"/>
      <c r="E49" s="85"/>
      <c r="F49" s="85"/>
      <c r="G49" s="86"/>
      <c r="H49" s="86"/>
      <c r="I49" s="86"/>
      <c r="J49" s="86"/>
      <c r="K49" s="86"/>
      <c r="L49" s="86"/>
      <c r="M49" s="86"/>
      <c r="N49" s="86"/>
      <c r="O49" s="86"/>
      <c r="P49" s="239"/>
      <c r="Q49" s="247"/>
      <c r="R49" s="248"/>
      <c r="S49" s="247"/>
      <c r="T49" s="248"/>
      <c r="U49" s="249"/>
      <c r="V49" s="246"/>
      <c r="W49" s="246"/>
      <c r="X49" s="246"/>
      <c r="Y49" s="239"/>
      <c r="Z49" s="239"/>
      <c r="AA49" s="239"/>
      <c r="AB49" s="240"/>
    </row>
    <row r="50" spans="1:28" ht="24.95" customHeight="1" x14ac:dyDescent="0.35">
      <c r="A50" s="86"/>
      <c r="B50" s="86"/>
      <c r="C50" s="86"/>
      <c r="D50" s="86"/>
      <c r="E50" s="85"/>
      <c r="F50" s="85"/>
      <c r="G50" s="86"/>
      <c r="H50" s="86"/>
      <c r="I50" s="86"/>
      <c r="J50" s="86"/>
      <c r="K50" s="86"/>
      <c r="L50" s="86"/>
      <c r="M50" s="86"/>
      <c r="N50" s="86"/>
      <c r="O50" s="86"/>
      <c r="P50" s="239"/>
      <c r="Q50" s="247"/>
      <c r="R50" s="248"/>
      <c r="S50" s="247"/>
      <c r="T50" s="248"/>
      <c r="U50" s="249"/>
      <c r="V50" s="246"/>
      <c r="W50" s="246"/>
      <c r="X50" s="246"/>
      <c r="Y50" s="239"/>
      <c r="Z50" s="239"/>
      <c r="AA50" s="239"/>
      <c r="AB50" s="240"/>
    </row>
    <row r="51" spans="1:28" ht="24.95" customHeight="1" x14ac:dyDescent="0.35">
      <c r="A51" s="86"/>
      <c r="B51" s="86"/>
      <c r="C51" s="86"/>
      <c r="D51" s="86"/>
      <c r="E51" s="85"/>
      <c r="F51" s="85"/>
      <c r="G51" s="86"/>
      <c r="H51" s="86"/>
      <c r="I51" s="86"/>
      <c r="J51" s="86"/>
      <c r="K51" s="86"/>
      <c r="L51" s="86"/>
      <c r="M51" s="86"/>
      <c r="N51" s="86"/>
      <c r="O51" s="86"/>
      <c r="P51" s="239"/>
      <c r="Q51" s="247"/>
      <c r="R51" s="248"/>
      <c r="S51" s="247"/>
      <c r="T51" s="248"/>
      <c r="U51" s="249"/>
      <c r="V51" s="246"/>
      <c r="W51" s="246"/>
      <c r="X51" s="246"/>
      <c r="Y51" s="239"/>
      <c r="Z51" s="239"/>
      <c r="AA51" s="239"/>
      <c r="AB51" s="240"/>
    </row>
    <row r="52" spans="1:28" ht="24.95" customHeight="1" x14ac:dyDescent="0.35">
      <c r="A52" s="86"/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239"/>
      <c r="Q52" s="247"/>
      <c r="R52" s="248"/>
      <c r="S52" s="247"/>
      <c r="T52" s="248"/>
      <c r="U52" s="249"/>
      <c r="V52" s="246"/>
      <c r="W52" s="246"/>
      <c r="X52" s="246"/>
      <c r="Y52" s="239"/>
      <c r="Z52" s="239"/>
      <c r="AA52" s="239"/>
      <c r="AB52" s="240"/>
    </row>
    <row r="53" spans="1:28" ht="24.95" customHeight="1" x14ac:dyDescent="0.25">
      <c r="A53" s="239"/>
      <c r="B53" s="239"/>
      <c r="C53" s="239"/>
      <c r="D53" s="239"/>
      <c r="E53" s="239"/>
      <c r="F53" s="239"/>
      <c r="G53" s="250"/>
      <c r="H53" s="250"/>
      <c r="I53" s="239"/>
      <c r="J53" s="239"/>
      <c r="K53" s="239"/>
      <c r="L53" s="239"/>
      <c r="M53" s="239"/>
      <c r="N53" s="239"/>
      <c r="O53" s="239"/>
      <c r="P53" s="239"/>
      <c r="Q53" s="247"/>
      <c r="R53" s="248"/>
      <c r="S53" s="247"/>
      <c r="T53" s="248"/>
      <c r="U53" s="249"/>
      <c r="V53" s="246"/>
      <c r="W53" s="246"/>
      <c r="X53" s="246"/>
      <c r="Y53" s="239"/>
      <c r="Z53" s="239"/>
      <c r="AA53" s="239"/>
      <c r="AB53" s="240"/>
    </row>
    <row r="54" spans="1:28" ht="24.95" customHeight="1" x14ac:dyDescent="0.25">
      <c r="A54" s="240"/>
      <c r="B54" s="240"/>
      <c r="C54" s="240"/>
      <c r="D54" s="240"/>
      <c r="E54" s="240"/>
      <c r="F54" s="240"/>
      <c r="G54" s="240"/>
      <c r="H54" s="240"/>
      <c r="I54" s="240"/>
      <c r="J54" s="240"/>
      <c r="K54" s="240"/>
      <c r="L54" s="240"/>
      <c r="M54" s="240"/>
      <c r="N54" s="240"/>
      <c r="O54" s="240"/>
      <c r="P54" s="240"/>
      <c r="Q54" s="251"/>
      <c r="R54" s="252"/>
      <c r="S54" s="251"/>
      <c r="T54" s="252"/>
      <c r="U54" s="253"/>
      <c r="V54" s="254"/>
      <c r="W54" s="254"/>
      <c r="X54" s="254"/>
      <c r="Y54" s="240"/>
      <c r="Z54" s="240"/>
      <c r="AA54" s="240"/>
      <c r="AB54" s="240"/>
    </row>
    <row r="55" spans="1:28" ht="24.95" customHeight="1" x14ac:dyDescent="0.25">
      <c r="A55" s="240"/>
      <c r="B55" s="240"/>
      <c r="C55" s="240"/>
      <c r="D55" s="240"/>
      <c r="E55" s="240"/>
      <c r="F55" s="240"/>
      <c r="G55" s="240"/>
      <c r="H55" s="240"/>
      <c r="I55" s="240"/>
      <c r="J55" s="240"/>
      <c r="K55" s="240"/>
      <c r="L55" s="240"/>
      <c r="M55" s="240"/>
      <c r="N55" s="240"/>
      <c r="O55" s="240"/>
      <c r="P55" s="240"/>
      <c r="Q55" s="251"/>
      <c r="R55" s="252"/>
      <c r="S55" s="251"/>
      <c r="T55" s="252"/>
      <c r="U55" s="253"/>
      <c r="V55" s="254"/>
      <c r="W55" s="254"/>
      <c r="X55" s="254"/>
      <c r="Y55" s="240"/>
      <c r="Z55" s="240"/>
      <c r="AA55" s="240"/>
      <c r="AB55" s="240"/>
    </row>
    <row r="56" spans="1:28" ht="24.95" customHeight="1" x14ac:dyDescent="0.25">
      <c r="A56" s="240"/>
      <c r="B56" s="240"/>
      <c r="C56" s="240"/>
      <c r="D56" s="240"/>
      <c r="E56" s="240"/>
      <c r="F56" s="240"/>
      <c r="G56" s="240"/>
      <c r="H56" s="240"/>
      <c r="I56" s="240"/>
      <c r="J56" s="240"/>
      <c r="K56" s="240"/>
      <c r="L56" s="240"/>
      <c r="M56" s="240"/>
      <c r="N56" s="240"/>
      <c r="O56" s="240"/>
      <c r="P56" s="240"/>
      <c r="Q56" s="251"/>
      <c r="R56" s="252"/>
      <c r="S56" s="251"/>
      <c r="T56" s="252"/>
      <c r="U56" s="253"/>
      <c r="V56" s="254"/>
      <c r="W56" s="254"/>
      <c r="X56" s="254"/>
      <c r="Y56" s="240"/>
      <c r="Z56" s="240"/>
      <c r="AA56" s="240"/>
      <c r="AB56" s="240"/>
    </row>
    <row r="57" spans="1:28" ht="24.95" customHeight="1" x14ac:dyDescent="0.25">
      <c r="Q57" s="216"/>
      <c r="R57" s="2"/>
      <c r="S57" s="216"/>
      <c r="T57" s="2"/>
      <c r="U57" s="22"/>
      <c r="V57" s="1"/>
      <c r="W57" s="1"/>
      <c r="X57" s="1"/>
    </row>
    <row r="58" spans="1:28" ht="24.95" customHeight="1" x14ac:dyDescent="0.25">
      <c r="Q58" s="216"/>
      <c r="R58" s="2"/>
      <c r="S58" s="216"/>
      <c r="T58" s="2"/>
      <c r="U58" s="22"/>
      <c r="V58" s="1"/>
      <c r="W58" s="1"/>
      <c r="X58" s="1"/>
    </row>
    <row r="59" spans="1:28" ht="24.95" customHeight="1" x14ac:dyDescent="0.25">
      <c r="Q59" s="216"/>
      <c r="R59" s="2"/>
      <c r="S59" s="216"/>
      <c r="T59" s="2"/>
      <c r="U59" s="22"/>
      <c r="V59" s="1"/>
      <c r="W59" s="1"/>
      <c r="X59" s="1"/>
    </row>
    <row r="60" spans="1:28" ht="24.95" customHeight="1" x14ac:dyDescent="0.25">
      <c r="Q60" s="1"/>
      <c r="R60" s="212"/>
      <c r="S60" s="1"/>
      <c r="T60" s="1"/>
      <c r="U60" s="1"/>
      <c r="V60" s="1"/>
      <c r="W60" s="1"/>
      <c r="X60" s="1"/>
    </row>
    <row r="61" spans="1:28" ht="24.95" customHeight="1" x14ac:dyDescent="0.25">
      <c r="Q61" s="1"/>
      <c r="R61" s="1"/>
      <c r="S61" s="1"/>
      <c r="T61" s="1"/>
      <c r="U61" s="1"/>
      <c r="V61" s="1"/>
      <c r="W61" s="1"/>
      <c r="X61" s="1"/>
    </row>
    <row r="62" spans="1:28" ht="24.95" customHeight="1" x14ac:dyDescent="0.2"/>
    <row r="63" spans="1:28" ht="24.95" customHeight="1" x14ac:dyDescent="0.2"/>
    <row r="64" spans="1:28" ht="24.95" customHeight="1" x14ac:dyDescent="0.2"/>
    <row r="65" ht="24.95" customHeight="1" x14ac:dyDescent="0.2"/>
    <row r="66" ht="24.95" customHeight="1" x14ac:dyDescent="0.2"/>
    <row r="67" ht="24.95" customHeight="1" x14ac:dyDescent="0.2"/>
    <row r="68" ht="24.95" customHeight="1" x14ac:dyDescent="0.2"/>
  </sheetData>
  <mergeCells count="4">
    <mergeCell ref="H3:I3"/>
    <mergeCell ref="E22:H22"/>
    <mergeCell ref="I22:J22"/>
    <mergeCell ref="E27:F27"/>
  </mergeCells>
  <pageMargins left="0.75" right="0.75" top="1" bottom="1" header="0.5" footer="0.5"/>
  <pageSetup scale="25" orientation="landscape" horizontalDpi="4294967292" verticalDpi="4294967292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O119"/>
  <sheetViews>
    <sheetView showGridLines="0" zoomScale="70" zoomScaleNormal="70" workbookViewId="0">
      <selection activeCell="G18" sqref="G18"/>
    </sheetView>
  </sheetViews>
  <sheetFormatPr defaultColWidth="11" defaultRowHeight="22.5" x14ac:dyDescent="0.3"/>
  <cols>
    <col min="1" max="13" width="18.625" style="24" customWidth="1"/>
    <col min="14" max="15" width="18.625" customWidth="1"/>
  </cols>
  <sheetData>
    <row r="1" spans="1:15" ht="20.25" thickBot="1" x14ac:dyDescent="0.3">
      <c r="A1" s="1" t="s">
        <v>178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1" thickTop="1" thickBot="1" x14ac:dyDescent="0.3">
      <c r="A2" s="1"/>
      <c r="B2" s="1"/>
      <c r="C2" s="1"/>
      <c r="D2" s="1"/>
      <c r="E2" s="15" t="s">
        <v>56</v>
      </c>
      <c r="F2" s="16">
        <v>1000</v>
      </c>
      <c r="G2" s="1"/>
      <c r="H2" s="5" t="s">
        <v>5</v>
      </c>
      <c r="I2" s="6"/>
      <c r="J2" s="6"/>
      <c r="K2" s="7"/>
      <c r="L2" s="1"/>
      <c r="M2" s="1"/>
      <c r="N2" s="1"/>
      <c r="O2" s="1"/>
    </row>
    <row r="3" spans="1:15" ht="24.75" thickTop="1" x14ac:dyDescent="0.4">
      <c r="A3" s="19" t="s">
        <v>3</v>
      </c>
      <c r="B3" s="19" t="s">
        <v>4</v>
      </c>
      <c r="C3" s="19" t="s">
        <v>57</v>
      </c>
      <c r="D3" s="19" t="s">
        <v>58</v>
      </c>
      <c r="E3" s="19" t="s">
        <v>59</v>
      </c>
      <c r="F3" s="19" t="s">
        <v>11</v>
      </c>
      <c r="G3" s="1"/>
      <c r="H3" s="8"/>
      <c r="I3" s="9" t="s">
        <v>8</v>
      </c>
      <c r="J3" s="9" t="s">
        <v>9</v>
      </c>
      <c r="K3" s="10" t="s">
        <v>10</v>
      </c>
      <c r="L3" s="1"/>
      <c r="M3" s="1"/>
      <c r="N3" s="1"/>
      <c r="O3" s="1"/>
    </row>
    <row r="4" spans="1:15" ht="24" thickBot="1" x14ac:dyDescent="0.4">
      <c r="A4" s="20" t="s">
        <v>60</v>
      </c>
      <c r="B4" s="20" t="s">
        <v>60</v>
      </c>
      <c r="C4" s="21" t="s">
        <v>61</v>
      </c>
      <c r="D4" s="21" t="s">
        <v>62</v>
      </c>
      <c r="E4" s="21" t="s">
        <v>62</v>
      </c>
      <c r="F4" s="21" t="s">
        <v>62</v>
      </c>
      <c r="G4" s="1"/>
      <c r="H4" s="8" t="s">
        <v>167</v>
      </c>
      <c r="I4" s="96">
        <v>6.8447100000000001</v>
      </c>
      <c r="J4" s="96">
        <v>1060.7929999999999</v>
      </c>
      <c r="K4" s="97">
        <v>231.541</v>
      </c>
      <c r="L4" s="1"/>
      <c r="M4" s="1"/>
      <c r="N4" s="1"/>
      <c r="O4" s="1"/>
    </row>
    <row r="5" spans="1:15" thickTop="1" thickBot="1" x14ac:dyDescent="0.4">
      <c r="A5" s="4">
        <v>0</v>
      </c>
      <c r="B5" s="2">
        <f>+A5*D5/$F$2</f>
        <v>0</v>
      </c>
      <c r="C5" s="22">
        <v>77.745757524777105</v>
      </c>
      <c r="D5" s="3">
        <f>10^($I$4-$J$4/(C5+$K$4))</f>
        <v>2599.5960269269531</v>
      </c>
      <c r="E5" s="3">
        <f>10^($I$5-$J$5/($K$5+C5))</f>
        <v>1000.0000000030267</v>
      </c>
      <c r="F5" s="23">
        <f>$F$2-A5*D5-(1-A5)*E5</f>
        <v>-3.0266846806625836E-9</v>
      </c>
      <c r="G5" s="1"/>
      <c r="H5" s="11" t="s">
        <v>168</v>
      </c>
      <c r="I5" s="111">
        <v>6.8855500000000003</v>
      </c>
      <c r="J5" s="111">
        <v>1175.817</v>
      </c>
      <c r="K5" s="258">
        <v>224.86699999999999</v>
      </c>
      <c r="L5" s="1"/>
      <c r="M5" s="1"/>
      <c r="N5" s="1"/>
      <c r="O5" s="1"/>
    </row>
    <row r="6" spans="1:15" ht="21" thickTop="1" thickBot="1" x14ac:dyDescent="0.3">
      <c r="A6" s="4">
        <v>0.01</v>
      </c>
      <c r="B6" s="2">
        <f>+A6*D6/$F$2</f>
        <v>2.5640878576755326E-2</v>
      </c>
      <c r="C6" s="22">
        <v>77.20807474013472</v>
      </c>
      <c r="D6" s="3">
        <f>10^($I$4-$J$4/(C6+$K$4))</f>
        <v>2564.0878576755326</v>
      </c>
      <c r="E6" s="3">
        <f>10^($I$5-$J$5/($K$5+C6))</f>
        <v>984.20113275075119</v>
      </c>
      <c r="F6" s="23">
        <f>$F$2-A6*D6-(1-A6)*E6</f>
        <v>1.0231815394945443E-12</v>
      </c>
      <c r="G6" s="1"/>
      <c r="H6" s="1"/>
      <c r="I6" s="1"/>
      <c r="J6" s="1"/>
      <c r="K6" s="1"/>
      <c r="L6" s="1"/>
      <c r="M6" s="1"/>
      <c r="N6" s="1"/>
      <c r="O6" s="1"/>
    </row>
    <row r="7" spans="1:15" ht="20.25" thickTop="1" x14ac:dyDescent="0.25">
      <c r="A7" s="4">
        <v>0.02</v>
      </c>
      <c r="B7" s="2">
        <f t="shared" ref="B7:B70" si="0">+A7*D7/$F$2</f>
        <v>5.0587497787524756E-2</v>
      </c>
      <c r="C7" s="22">
        <v>76.677028050867719</v>
      </c>
      <c r="D7" s="3">
        <f t="shared" ref="D7:D70" si="1">10^($I$4-$J$4/(C7+$K$4))</f>
        <v>2529.3748893762377</v>
      </c>
      <c r="E7" s="3">
        <f t="shared" ref="E7:E70" si="2">10^($I$5-$J$5/($K$5+C7))</f>
        <v>968.78826756374997</v>
      </c>
      <c r="F7" s="23">
        <f t="shared" ref="F7:F70" si="3">$F$2-A7*D7-(1-A7)*E7</f>
        <v>0</v>
      </c>
      <c r="G7" s="1"/>
      <c r="H7" s="5" t="s">
        <v>47</v>
      </c>
      <c r="I7" s="6" t="s">
        <v>48</v>
      </c>
      <c r="J7" s="6"/>
      <c r="K7" s="6"/>
      <c r="L7" s="6"/>
      <c r="M7" s="7"/>
      <c r="N7" s="1"/>
      <c r="O7" s="1"/>
    </row>
    <row r="8" spans="1:15" ht="19.5" x14ac:dyDescent="0.25">
      <c r="A8" s="4">
        <v>0.03</v>
      </c>
      <c r="B8" s="2">
        <f t="shared" si="0"/>
        <v>7.4863026718142836E-2</v>
      </c>
      <c r="C8" s="22">
        <v>76.152501576519285</v>
      </c>
      <c r="D8" s="3">
        <f t="shared" si="1"/>
        <v>2495.4342239380944</v>
      </c>
      <c r="E8" s="3">
        <f t="shared" si="2"/>
        <v>953.74945699160332</v>
      </c>
      <c r="F8" s="23">
        <f t="shared" si="3"/>
        <v>2.0463630789890885E-12</v>
      </c>
      <c r="G8" s="1"/>
      <c r="H8" s="8"/>
      <c r="I8" s="17" t="s">
        <v>49</v>
      </c>
      <c r="J8" s="17"/>
      <c r="K8" s="17"/>
      <c r="L8" s="17"/>
      <c r="M8" s="25"/>
      <c r="N8" s="1"/>
      <c r="O8" s="1"/>
    </row>
    <row r="9" spans="1:15" ht="24" x14ac:dyDescent="0.4">
      <c r="A9" s="4">
        <v>0.04</v>
      </c>
      <c r="B9" s="2">
        <f t="shared" si="0"/>
        <v>9.848974881967977E-2</v>
      </c>
      <c r="C9" s="22">
        <v>75.634381513678704</v>
      </c>
      <c r="D9" s="3">
        <f t="shared" si="1"/>
        <v>2462.2437204919943</v>
      </c>
      <c r="E9" s="3">
        <f t="shared" si="2"/>
        <v>939.07317831283342</v>
      </c>
      <c r="F9" s="23">
        <f t="shared" si="3"/>
        <v>0</v>
      </c>
      <c r="G9" s="1"/>
      <c r="H9" s="8"/>
      <c r="I9" s="17" t="s">
        <v>50</v>
      </c>
      <c r="J9" s="17"/>
      <c r="K9" s="17"/>
      <c r="L9" s="17"/>
      <c r="M9" s="25"/>
      <c r="N9" s="1"/>
      <c r="O9" s="1"/>
    </row>
    <row r="10" spans="1:15" ht="19.5" x14ac:dyDescent="0.25">
      <c r="A10" s="4">
        <v>0.05</v>
      </c>
      <c r="B10" s="2">
        <f t="shared" si="0"/>
        <v>0.12148909845244009</v>
      </c>
      <c r="C10" s="22">
        <v>75.122556120109707</v>
      </c>
      <c r="D10" s="3">
        <f t="shared" si="1"/>
        <v>2429.7819690488018</v>
      </c>
      <c r="E10" s="3">
        <f t="shared" si="2"/>
        <v>924.74831741848482</v>
      </c>
      <c r="F10" s="23">
        <f t="shared" si="3"/>
        <v>0</v>
      </c>
      <c r="G10" s="1"/>
      <c r="H10" s="8"/>
      <c r="I10" s="17" t="s">
        <v>51</v>
      </c>
      <c r="J10" s="17"/>
      <c r="K10" s="17"/>
      <c r="L10" s="17"/>
      <c r="M10" s="25"/>
      <c r="N10" s="1"/>
      <c r="O10" s="1"/>
    </row>
    <row r="11" spans="1:15" ht="19.5" x14ac:dyDescent="0.25">
      <c r="A11" s="4">
        <v>0.06</v>
      </c>
      <c r="B11" s="2">
        <f t="shared" si="0"/>
        <v>0.14388169590102942</v>
      </c>
      <c r="C11" s="22">
        <v>74.616915697081637</v>
      </c>
      <c r="D11" s="3">
        <f t="shared" si="1"/>
        <v>2398.0282650171571</v>
      </c>
      <c r="E11" s="3">
        <f t="shared" si="2"/>
        <v>910.7641532967765</v>
      </c>
      <c r="F11" s="23">
        <f t="shared" si="3"/>
        <v>0</v>
      </c>
      <c r="G11" s="1"/>
      <c r="H11" s="8"/>
      <c r="I11" s="17" t="s">
        <v>52</v>
      </c>
      <c r="J11" s="17"/>
      <c r="K11" s="17"/>
      <c r="L11" s="17"/>
      <c r="M11" s="25"/>
      <c r="N11" s="1"/>
      <c r="O11" s="1"/>
    </row>
    <row r="12" spans="1:15" ht="24" x14ac:dyDescent="0.4">
      <c r="A12" s="4">
        <v>7.0000000000000007E-2</v>
      </c>
      <c r="B12" s="2">
        <f t="shared" si="0"/>
        <v>0.16568738091898497</v>
      </c>
      <c r="C12" s="22">
        <v>74.11735256998864</v>
      </c>
      <c r="D12" s="3">
        <f t="shared" si="1"/>
        <v>2366.9625845569276</v>
      </c>
      <c r="E12" s="3">
        <f t="shared" si="2"/>
        <v>897.11034309786555</v>
      </c>
      <c r="F12" s="23">
        <f t="shared" si="3"/>
        <v>0</v>
      </c>
      <c r="G12" s="1"/>
      <c r="H12" s="8"/>
      <c r="I12" s="17" t="s">
        <v>53</v>
      </c>
      <c r="J12" s="17"/>
      <c r="K12" s="17"/>
      <c r="L12" s="17"/>
      <c r="M12" s="25"/>
      <c r="N12" s="1"/>
      <c r="O12" s="1"/>
    </row>
    <row r="13" spans="1:15" ht="19.5" x14ac:dyDescent="0.25">
      <c r="A13" s="4">
        <v>0.08</v>
      </c>
      <c r="B13" s="2">
        <f t="shared" si="0"/>
        <v>0.18692524486001427</v>
      </c>
      <c r="C13" s="22">
        <v>73.623761067432142</v>
      </c>
      <c r="D13" s="3">
        <f t="shared" si="1"/>
        <v>2336.5655607501781</v>
      </c>
      <c r="E13" s="3">
        <f t="shared" si="2"/>
        <v>883.77690776085444</v>
      </c>
      <c r="F13" s="23">
        <f t="shared" si="3"/>
        <v>0</v>
      </c>
      <c r="G13" s="1"/>
      <c r="H13" s="8"/>
      <c r="I13" s="17" t="s">
        <v>54</v>
      </c>
      <c r="J13" s="17"/>
      <c r="K13" s="17"/>
      <c r="L13" s="17"/>
      <c r="M13" s="25"/>
      <c r="N13" s="1"/>
      <c r="O13" s="1"/>
    </row>
    <row r="14" spans="1:15" ht="24" x14ac:dyDescent="0.4">
      <c r="A14" s="4">
        <v>0.09</v>
      </c>
      <c r="B14" s="2">
        <f t="shared" si="0"/>
        <v>0.20761366145139576</v>
      </c>
      <c r="C14" s="22">
        <v>73.136037498932595</v>
      </c>
      <c r="D14" s="3">
        <f t="shared" si="1"/>
        <v>2306.818460571064</v>
      </c>
      <c r="E14" s="3">
        <f t="shared" si="2"/>
        <v>870.75421818527889</v>
      </c>
      <c r="F14" s="23">
        <f t="shared" si="3"/>
        <v>0</v>
      </c>
      <c r="G14" s="1"/>
      <c r="H14" s="8"/>
      <c r="I14" s="17" t="s">
        <v>55</v>
      </c>
      <c r="J14" s="17"/>
      <c r="K14" s="17"/>
      <c r="L14" s="17"/>
      <c r="M14" s="25"/>
      <c r="N14" s="1"/>
      <c r="O14" s="1"/>
    </row>
    <row r="15" spans="1:15" ht="20.25" thickBot="1" x14ac:dyDescent="0.3">
      <c r="A15" s="4">
        <v>0.1</v>
      </c>
      <c r="B15" s="2">
        <f t="shared" si="0"/>
        <v>0.22777031626352706</v>
      </c>
      <c r="C15" s="22">
        <v>72.654080131423385</v>
      </c>
      <c r="D15" s="3">
        <f t="shared" si="1"/>
        <v>2277.7031626352705</v>
      </c>
      <c r="E15" s="3">
        <f t="shared" si="2"/>
        <v>858.03298192941452</v>
      </c>
      <c r="F15" s="23">
        <f t="shared" si="3"/>
        <v>0</v>
      </c>
      <c r="G15" s="1"/>
      <c r="H15" s="11"/>
      <c r="I15" s="18" t="s">
        <v>63</v>
      </c>
      <c r="J15" s="18"/>
      <c r="K15" s="18"/>
      <c r="L15" s="18"/>
      <c r="M15" s="26"/>
      <c r="N15" s="1"/>
      <c r="O15" s="1"/>
    </row>
    <row r="16" spans="1:15" ht="20.25" thickTop="1" x14ac:dyDescent="0.25">
      <c r="A16" s="4">
        <v>0.11</v>
      </c>
      <c r="B16" s="2">
        <f t="shared" si="0"/>
        <v>0.24741223492803188</v>
      </c>
      <c r="C16" s="22">
        <v>72.177789164670187</v>
      </c>
      <c r="D16" s="3">
        <f t="shared" si="1"/>
        <v>2249.2021357093809</v>
      </c>
      <c r="E16" s="3">
        <f t="shared" si="2"/>
        <v>845.60423041794286</v>
      </c>
      <c r="F16" s="23">
        <f t="shared" si="3"/>
        <v>-1.0231815394945443E-12</v>
      </c>
      <c r="G16" s="1"/>
      <c r="H16" s="1"/>
      <c r="I16" s="1"/>
      <c r="J16" s="1"/>
      <c r="K16" s="1"/>
      <c r="L16" s="1"/>
      <c r="M16" s="1"/>
      <c r="N16" s="1"/>
      <c r="O16" s="1"/>
    </row>
    <row r="17" spans="1:15" ht="19.5" x14ac:dyDescent="0.25">
      <c r="A17" s="4">
        <v>0.12</v>
      </c>
      <c r="B17" s="2">
        <f t="shared" si="0"/>
        <v>0.26655581015523289</v>
      </c>
      <c r="C17" s="22">
        <v>71.707066705750492</v>
      </c>
      <c r="D17" s="3">
        <f t="shared" si="1"/>
        <v>2221.2984179602745</v>
      </c>
      <c r="E17" s="3">
        <f t="shared" si="2"/>
        <v>833.45930664178138</v>
      </c>
      <c r="F17" s="23">
        <f t="shared" si="3"/>
        <v>0</v>
      </c>
      <c r="G17" s="1"/>
      <c r="H17" s="1"/>
      <c r="I17" s="1"/>
      <c r="J17" s="1"/>
      <c r="K17" s="1"/>
      <c r="L17" s="1"/>
      <c r="M17" s="1"/>
      <c r="N17" s="1"/>
      <c r="O17" s="1"/>
    </row>
    <row r="18" spans="1:15" ht="19.5" x14ac:dyDescent="0.25">
      <c r="A18" s="4">
        <v>0.13</v>
      </c>
      <c r="B18" s="2">
        <f t="shared" si="0"/>
        <v>0.28521682760016842</v>
      </c>
      <c r="C18" s="22">
        <v>71.241816742716566</v>
      </c>
      <c r="D18" s="3">
        <f t="shared" si="1"/>
        <v>2193.9755969243724</v>
      </c>
      <c r="E18" s="3">
        <f t="shared" si="2"/>
        <v>821.5898533331407</v>
      </c>
      <c r="F18" s="23">
        <f t="shared" si="3"/>
        <v>-9.0949470177292824E-13</v>
      </c>
      <c r="G18" s="1"/>
      <c r="H18" s="1"/>
      <c r="I18" s="1"/>
      <c r="J18" s="1"/>
      <c r="K18" s="1"/>
      <c r="L18" s="1"/>
      <c r="M18" s="1"/>
      <c r="N18" s="1"/>
      <c r="O18" s="1"/>
    </row>
    <row r="19" spans="1:15" ht="19.5" x14ac:dyDescent="0.25">
      <c r="A19" s="4">
        <v>0.14000000000000001</v>
      </c>
      <c r="B19" s="2">
        <f t="shared" si="0"/>
        <v>0.3034104906247202</v>
      </c>
      <c r="C19" s="22">
        <v>70.781945117557584</v>
      </c>
      <c r="D19" s="3">
        <f t="shared" si="1"/>
        <v>2167.2177901765726</v>
      </c>
      <c r="E19" s="3">
        <f t="shared" si="2"/>
        <v>809.98780159916248</v>
      </c>
      <c r="F19" s="23">
        <f t="shared" si="3"/>
        <v>0</v>
      </c>
      <c r="G19" s="1"/>
      <c r="H19" s="1"/>
      <c r="I19" s="1"/>
      <c r="J19" s="1"/>
      <c r="K19" s="1"/>
      <c r="L19" s="1"/>
      <c r="M19" s="1"/>
      <c r="N19" s="1"/>
      <c r="O19" s="1"/>
    </row>
    <row r="20" spans="1:15" ht="19.5" x14ac:dyDescent="0.25">
      <c r="A20" s="4">
        <v>0.15</v>
      </c>
      <c r="B20" s="2">
        <f t="shared" si="0"/>
        <v>0.32115144400180273</v>
      </c>
      <c r="C20" s="22">
        <v>70.327359498568413</v>
      </c>
      <c r="D20" s="3">
        <f t="shared" si="1"/>
        <v>2141.009626678685</v>
      </c>
      <c r="E20" s="3">
        <f t="shared" si="2"/>
        <v>798.6453599978795</v>
      </c>
      <c r="F20" s="23">
        <f t="shared" si="3"/>
        <v>0</v>
      </c>
      <c r="G20" s="1"/>
      <c r="H20" s="1"/>
      <c r="I20" s="1"/>
      <c r="J20" s="1"/>
      <c r="K20" s="1"/>
      <c r="L20" s="1"/>
      <c r="M20" s="1"/>
      <c r="N20" s="1"/>
      <c r="O20" s="1"/>
    </row>
    <row r="21" spans="1:15" ht="19.5" x14ac:dyDescent="0.25">
      <c r="A21" s="4">
        <v>0.16</v>
      </c>
      <c r="B21" s="2">
        <f t="shared" si="0"/>
        <v>0.33845379660594649</v>
      </c>
      <c r="C21" s="22">
        <v>69.877969352223275</v>
      </c>
      <c r="D21" s="3">
        <f t="shared" si="1"/>
        <v>2115.3362287871655</v>
      </c>
      <c r="E21" s="3">
        <f t="shared" si="2"/>
        <v>787.55500404054021</v>
      </c>
      <c r="F21" s="23">
        <f t="shared" si="3"/>
        <v>0</v>
      </c>
      <c r="G21" s="1"/>
      <c r="H21" s="1"/>
      <c r="I21" s="1"/>
      <c r="J21" s="1"/>
      <c r="K21" s="1"/>
      <c r="L21" s="1"/>
      <c r="M21" s="1"/>
      <c r="N21" s="1"/>
      <c r="O21" s="1"/>
    </row>
    <row r="22" spans="1:15" ht="19.5" x14ac:dyDescent="0.25">
      <c r="A22" s="4">
        <v>0.17</v>
      </c>
      <c r="B22" s="2">
        <f t="shared" si="0"/>
        <v>0.35533114313304032</v>
      </c>
      <c r="C22" s="22">
        <v>69.433685914646617</v>
      </c>
      <c r="D22" s="3">
        <f t="shared" si="1"/>
        <v>2090.1831949002371</v>
      </c>
      <c r="E22" s="3">
        <f t="shared" si="2"/>
        <v>776.70946610476994</v>
      </c>
      <c r="F22" s="23">
        <f t="shared" si="3"/>
        <v>0</v>
      </c>
      <c r="G22" s="1"/>
      <c r="H22" s="1"/>
      <c r="I22" s="1"/>
      <c r="J22" s="1"/>
      <c r="K22" s="1"/>
      <c r="L22" s="1"/>
      <c r="M22" s="1"/>
      <c r="N22" s="1"/>
      <c r="O22" s="1"/>
    </row>
    <row r="23" spans="1:15" ht="19.5" x14ac:dyDescent="0.25">
      <c r="A23" s="4">
        <v>0.18</v>
      </c>
      <c r="B23" s="2">
        <f t="shared" si="0"/>
        <v>0.37179658489041351</v>
      </c>
      <c r="C23" s="22">
        <v>68.994422162765133</v>
      </c>
      <c r="D23" s="3">
        <f t="shared" si="1"/>
        <v>2065.5365827245196</v>
      </c>
      <c r="E23" s="3">
        <f t="shared" si="2"/>
        <v>766.10172574339765</v>
      </c>
      <c r="F23" s="23">
        <f t="shared" si="3"/>
        <v>0</v>
      </c>
      <c r="G23" s="1"/>
      <c r="H23" s="1"/>
      <c r="I23" s="1"/>
      <c r="J23" s="1"/>
      <c r="K23" s="1"/>
      <c r="L23" s="1"/>
      <c r="M23" s="1"/>
      <c r="N23" s="1"/>
      <c r="O23" s="1"/>
    </row>
    <row r="24" spans="1:15" ht="19.5" x14ac:dyDescent="0.25">
      <c r="A24" s="4">
        <v>0.19</v>
      </c>
      <c r="B24" s="2">
        <f t="shared" si="0"/>
        <v>0.38786274969691076</v>
      </c>
      <c r="C24" s="22">
        <v>68.560092785218941</v>
      </c>
      <c r="D24" s="3">
        <f t="shared" si="1"/>
        <v>2041.3828931416358</v>
      </c>
      <c r="E24" s="3">
        <f t="shared" si="2"/>
        <v>755.72500037418502</v>
      </c>
      <c r="F24" s="23">
        <f t="shared" si="3"/>
        <v>0</v>
      </c>
      <c r="G24" s="1"/>
      <c r="H24" s="1"/>
      <c r="I24" s="1"/>
      <c r="J24" s="1"/>
      <c r="K24" s="1"/>
      <c r="L24" s="1"/>
      <c r="M24" s="1"/>
      <c r="N24" s="1"/>
      <c r="O24" s="1"/>
    </row>
    <row r="25" spans="1:15" ht="19.5" x14ac:dyDescent="0.25">
      <c r="A25" s="4">
        <v>0.2</v>
      </c>
      <c r="B25" s="2">
        <f t="shared" si="0"/>
        <v>0.40354181093109981</v>
      </c>
      <c r="C25" s="22">
        <v>68.130614153103352</v>
      </c>
      <c r="D25" s="3">
        <f t="shared" si="1"/>
        <v>2017.7090546554989</v>
      </c>
      <c r="E25" s="3">
        <f t="shared" si="2"/>
        <v>745.57273633612567</v>
      </c>
      <c r="F25" s="23">
        <f t="shared" si="3"/>
        <v>0</v>
      </c>
      <c r="G25" s="1"/>
      <c r="H25" s="1"/>
      <c r="I25" s="1"/>
      <c r="J25" s="1"/>
      <c r="K25" s="1"/>
      <c r="L25" s="1"/>
      <c r="M25" s="1"/>
      <c r="N25" s="1"/>
      <c r="O25" s="1"/>
    </row>
    <row r="26" spans="1:15" ht="19.5" x14ac:dyDescent="0.25">
      <c r="A26" s="4">
        <v>0.21</v>
      </c>
      <c r="B26" s="2">
        <f t="shared" si="0"/>
        <v>0.41884550576427426</v>
      </c>
      <c r="C26" s="22">
        <v>67.705904290607052</v>
      </c>
      <c r="D26" s="3">
        <f t="shared" si="1"/>
        <v>1994.5024084013062</v>
      </c>
      <c r="E26" s="3">
        <f t="shared" si="2"/>
        <v>735.63860029838634</v>
      </c>
      <c r="F26" s="23">
        <f t="shared" si="3"/>
        <v>0</v>
      </c>
      <c r="G26" s="1"/>
      <c r="H26" s="1"/>
      <c r="I26" s="1"/>
      <c r="J26" s="1"/>
      <c r="K26" s="1"/>
      <c r="L26" s="1"/>
      <c r="M26" s="1"/>
      <c r="N26" s="1"/>
      <c r="O26" s="1"/>
    </row>
    <row r="27" spans="1:15" ht="19.5" x14ac:dyDescent="0.25">
      <c r="A27" s="4">
        <v>0.22</v>
      </c>
      <c r="B27" s="2">
        <f t="shared" si="0"/>
        <v>0.43378515261347472</v>
      </c>
      <c r="C27" s="22">
        <v>67.285882845606494</v>
      </c>
      <c r="D27" s="3">
        <f t="shared" si="1"/>
        <v>1971.7506936976124</v>
      </c>
      <c r="E27" s="3">
        <f t="shared" si="2"/>
        <v>725.91647100836542</v>
      </c>
      <c r="F27" s="23">
        <f t="shared" si="3"/>
        <v>0</v>
      </c>
      <c r="G27" s="1"/>
      <c r="H27" s="1"/>
      <c r="I27" s="1"/>
      <c r="J27" s="1"/>
      <c r="K27" s="1"/>
      <c r="L27" s="1"/>
      <c r="M27" s="1"/>
      <c r="N27" s="1"/>
      <c r="O27" s="1"/>
    </row>
    <row r="28" spans="1:15" ht="19.5" x14ac:dyDescent="0.25">
      <c r="A28" s="4">
        <v>0.23</v>
      </c>
      <c r="B28" s="2">
        <f t="shared" si="0"/>
        <v>0.44837166784834204</v>
      </c>
      <c r="C28" s="22">
        <v>66.870471060271626</v>
      </c>
      <c r="D28" s="3">
        <f t="shared" si="1"/>
        <v>1949.4420341232262</v>
      </c>
      <c r="E28" s="3">
        <f t="shared" si="2"/>
        <v>716.40043136578925</v>
      </c>
      <c r="F28" s="23">
        <f t="shared" si="3"/>
        <v>0</v>
      </c>
      <c r="G28" s="1"/>
      <c r="H28" s="1"/>
      <c r="I28" s="1"/>
      <c r="J28" s="1"/>
      <c r="K28" s="1"/>
      <c r="L28" s="1"/>
      <c r="M28" s="1"/>
      <c r="N28" s="1"/>
      <c r="O28" s="1"/>
    </row>
    <row r="29" spans="1:15" ht="19.5" x14ac:dyDescent="0.25">
      <c r="A29" s="4">
        <v>0.24</v>
      </c>
      <c r="B29" s="2">
        <f t="shared" si="0"/>
        <v>0.46261558178426448</v>
      </c>
      <c r="C29" s="22">
        <v>66.45959174173268</v>
      </c>
      <c r="D29" s="3">
        <f t="shared" si="1"/>
        <v>1927.564924101102</v>
      </c>
      <c r="E29" s="3">
        <f t="shared" si="2"/>
        <v>707.08476081017795</v>
      </c>
      <c r="F29" s="23">
        <f t="shared" si="3"/>
        <v>0</v>
      </c>
      <c r="G29" s="1"/>
      <c r="H29" s="1"/>
      <c r="I29" s="1"/>
      <c r="J29" s="1"/>
      <c r="K29" s="1"/>
      <c r="L29" s="1"/>
      <c r="M29" s="1"/>
      <c r="N29" s="1"/>
      <c r="O29" s="1"/>
    </row>
    <row r="30" spans="1:15" ht="19.5" x14ac:dyDescent="0.25">
      <c r="A30" s="4">
        <v>0.25</v>
      </c>
      <c r="B30" s="2">
        <f t="shared" si="0"/>
        <v>0.47652705399293588</v>
      </c>
      <c r="C30" s="22">
        <v>66.053169232854344</v>
      </c>
      <c r="D30" s="3">
        <f t="shared" si="1"/>
        <v>1906.1082159717434</v>
      </c>
      <c r="E30" s="3">
        <f t="shared" si="2"/>
        <v>697.96392800941817</v>
      </c>
      <c r="F30" s="23">
        <f t="shared" si="3"/>
        <v>0</v>
      </c>
      <c r="G30" s="1"/>
      <c r="H30" s="1"/>
      <c r="I30" s="1"/>
      <c r="J30" s="1"/>
      <c r="K30" s="1"/>
      <c r="L30" s="1"/>
      <c r="M30" s="1"/>
      <c r="N30" s="1"/>
      <c r="O30" s="1"/>
    </row>
    <row r="31" spans="1:15" ht="19.5" x14ac:dyDescent="0.25">
      <c r="A31" s="4">
        <v>0.26</v>
      </c>
      <c r="B31" s="2">
        <f t="shared" si="0"/>
        <v>0.49011588796017097</v>
      </c>
      <c r="C31" s="22">
        <v>65.651129383157595</v>
      </c>
      <c r="D31" s="3">
        <f t="shared" si="1"/>
        <v>1885.0611075391191</v>
      </c>
      <c r="E31" s="3">
        <f t="shared" si="2"/>
        <v>689.0325838376076</v>
      </c>
      <c r="F31" s="23">
        <f t="shared" si="3"/>
        <v>-6.2527760746888816E-13</v>
      </c>
      <c r="G31" s="1"/>
      <c r="H31" s="1"/>
      <c r="I31" s="1"/>
      <c r="J31" s="1"/>
      <c r="K31" s="1"/>
      <c r="L31" s="1"/>
      <c r="M31" s="1"/>
      <c r="N31" s="1"/>
      <c r="O31" s="1"/>
    </row>
    <row r="32" spans="1:15" ht="19.5" x14ac:dyDescent="0.25">
      <c r="A32" s="4">
        <v>0.27</v>
      </c>
      <c r="B32" s="2">
        <f t="shared" si="0"/>
        <v>0.5033915451195784</v>
      </c>
      <c r="C32" s="22">
        <v>65.253399519927356</v>
      </c>
      <c r="D32" s="3">
        <f t="shared" si="1"/>
        <v>1864.4131300725126</v>
      </c>
      <c r="E32" s="3">
        <f t="shared" si="2"/>
        <v>680.28555463071359</v>
      </c>
      <c r="F32" s="23">
        <f t="shared" si="3"/>
        <v>6.2527760746888816E-13</v>
      </c>
      <c r="G32" s="1"/>
      <c r="H32" s="1"/>
      <c r="I32" s="1"/>
      <c r="J32" s="1"/>
      <c r="K32" s="1"/>
      <c r="L32" s="1"/>
      <c r="M32" s="1"/>
      <c r="N32" s="1"/>
      <c r="O32" s="1"/>
    </row>
    <row r="33" spans="1:15" ht="19.5" x14ac:dyDescent="0.25">
      <c r="A33" s="4">
        <v>0.28000000000000003</v>
      </c>
      <c r="B33" s="2">
        <f t="shared" si="0"/>
        <v>0.51636315828947355</v>
      </c>
      <c r="C33" s="22">
        <v>64.859908419539309</v>
      </c>
      <c r="D33" s="3">
        <f t="shared" si="1"/>
        <v>1844.1541367481195</v>
      </c>
      <c r="E33" s="3">
        <f t="shared" si="2"/>
        <v>671.71783570906427</v>
      </c>
      <c r="F33" s="23">
        <f t="shared" si="3"/>
        <v>0</v>
      </c>
      <c r="G33" s="1"/>
      <c r="H33" s="1"/>
      <c r="I33" s="1"/>
      <c r="J33" s="1"/>
      <c r="K33" s="1"/>
      <c r="L33" s="1"/>
      <c r="M33" s="1"/>
      <c r="N33" s="1"/>
      <c r="O33" s="1"/>
    </row>
    <row r="34" spans="1:15" ht="19.5" x14ac:dyDescent="0.25">
      <c r="A34" s="4">
        <v>0.28999999999999998</v>
      </c>
      <c r="B34" s="2">
        <f t="shared" si="0"/>
        <v>0.52903954453928137</v>
      </c>
      <c r="C34" s="22">
        <v>64.470586279036056</v>
      </c>
      <c r="D34" s="3">
        <f t="shared" si="1"/>
        <v>1824.2742915147633</v>
      </c>
      <c r="E34" s="3">
        <f t="shared" si="2"/>
        <v>663.3245851559418</v>
      </c>
      <c r="F34" s="23">
        <f t="shared" si="3"/>
        <v>0</v>
      </c>
      <c r="G34" s="1"/>
      <c r="H34" s="1"/>
      <c r="I34" s="1"/>
      <c r="J34" s="1"/>
      <c r="K34" s="1"/>
      <c r="L34" s="1"/>
      <c r="M34" s="1"/>
      <c r="N34" s="1"/>
      <c r="O34" s="1"/>
    </row>
    <row r="35" spans="1:15" ht="19.5" x14ac:dyDescent="0.25">
      <c r="A35" s="4">
        <v>0.3</v>
      </c>
      <c r="B35" s="2">
        <f t="shared" si="0"/>
        <v>0.54142921751051998</v>
      </c>
      <c r="C35" s="22">
        <v>64.085364687980118</v>
      </c>
      <c r="D35" s="3">
        <f t="shared" si="1"/>
        <v>1804.7640583683999</v>
      </c>
      <c r="E35" s="3">
        <f t="shared" si="2"/>
        <v>655.10111784211415</v>
      </c>
      <c r="F35" s="23">
        <f t="shared" si="3"/>
        <v>0</v>
      </c>
      <c r="G35" s="1"/>
      <c r="H35" s="1"/>
      <c r="I35" s="1"/>
      <c r="J35" s="1"/>
      <c r="K35" s="1"/>
      <c r="L35" s="1"/>
      <c r="M35" s="1"/>
      <c r="N35" s="1"/>
      <c r="O35" s="1"/>
    </row>
    <row r="36" spans="1:15" ht="19.5" x14ac:dyDescent="0.25">
      <c r="A36" s="4">
        <v>0.31</v>
      </c>
      <c r="B36" s="2">
        <f t="shared" si="0"/>
        <v>0.55354039921641296</v>
      </c>
      <c r="C36" s="22">
        <v>63.704176600607397</v>
      </c>
      <c r="D36" s="3">
        <f t="shared" si="1"/>
        <v>1785.614191020687</v>
      </c>
      <c r="E36" s="3">
        <f t="shared" si="2"/>
        <v>647.04289968635919</v>
      </c>
      <c r="F36" s="23">
        <f t="shared" si="3"/>
        <v>-7.9580786405131221E-13</v>
      </c>
      <c r="G36" s="1"/>
      <c r="H36" s="1"/>
      <c r="I36" s="1"/>
      <c r="J36" s="1"/>
      <c r="K36" s="1"/>
      <c r="L36" s="1"/>
      <c r="M36" s="1"/>
      <c r="N36" s="1"/>
      <c r="O36" s="1"/>
    </row>
    <row r="37" spans="1:15" ht="19.5" x14ac:dyDescent="0.25">
      <c r="A37" s="4">
        <v>0.32</v>
      </c>
      <c r="B37" s="2">
        <f t="shared" si="0"/>
        <v>0.5653810313431028</v>
      </c>
      <c r="C37" s="22">
        <v>63.326956308302833</v>
      </c>
      <c r="D37" s="3">
        <f t="shared" si="1"/>
        <v>1766.815722947196</v>
      </c>
      <c r="E37" s="3">
        <f t="shared" si="2"/>
        <v>639.14554214249597</v>
      </c>
      <c r="F37" s="23">
        <f t="shared" si="3"/>
        <v>0</v>
      </c>
      <c r="G37" s="1"/>
      <c r="H37" s="1"/>
      <c r="I37" s="1"/>
      <c r="J37" s="1"/>
      <c r="K37" s="1"/>
      <c r="L37" s="1"/>
      <c r="M37" s="1"/>
      <c r="N37" s="1"/>
      <c r="O37" s="1"/>
    </row>
    <row r="38" spans="1:15" ht="19.5" x14ac:dyDescent="0.25">
      <c r="A38" s="4">
        <v>0.33</v>
      </c>
      <c r="B38" s="2">
        <f t="shared" si="0"/>
        <v>0.57695878607447726</v>
      </c>
      <c r="C38" s="22">
        <v>62.953639412417338</v>
      </c>
      <c r="D38" s="3">
        <f t="shared" si="1"/>
        <v>1748.3599578014464</v>
      </c>
      <c r="E38" s="3">
        <f t="shared" si="2"/>
        <v>631.40479690376515</v>
      </c>
      <c r="F38" s="23">
        <f t="shared" si="3"/>
        <v>0</v>
      </c>
      <c r="G38" s="1"/>
      <c r="H38" s="1"/>
      <c r="I38" s="1"/>
      <c r="J38" s="1"/>
      <c r="K38" s="1"/>
      <c r="L38" s="1"/>
      <c r="M38" s="1"/>
      <c r="N38" s="1"/>
      <c r="O38" s="1"/>
    </row>
    <row r="39" spans="1:15" ht="19.5" x14ac:dyDescent="0.25">
      <c r="A39" s="4">
        <v>0.34</v>
      </c>
      <c r="B39" s="2">
        <f t="shared" si="0"/>
        <v>0.58828107646160444</v>
      </c>
      <c r="C39" s="22">
        <v>62.584162797441721</v>
      </c>
      <c r="D39" s="3">
        <f t="shared" si="1"/>
        <v>1730.2384601811896</v>
      </c>
      <c r="E39" s="3">
        <f t="shared" si="2"/>
        <v>623.81655081575093</v>
      </c>
      <c r="F39" s="23">
        <f t="shared" si="3"/>
        <v>0</v>
      </c>
      <c r="G39" s="1"/>
      <c r="H39" s="1"/>
      <c r="I39" s="1"/>
      <c r="J39" s="1"/>
      <c r="K39" s="1"/>
      <c r="L39" s="1"/>
      <c r="M39" s="1"/>
      <c r="N39" s="1"/>
      <c r="O39" s="1"/>
    </row>
    <row r="40" spans="1:15" ht="19.5" x14ac:dyDescent="0.25">
      <c r="A40" s="4">
        <v>0.35</v>
      </c>
      <c r="B40" s="2">
        <f t="shared" si="0"/>
        <v>0.5993550663569035</v>
      </c>
      <c r="C40" s="22">
        <v>62.218464604552949</v>
      </c>
      <c r="D40" s="3">
        <f t="shared" si="1"/>
        <v>1712.4430467340103</v>
      </c>
      <c r="E40" s="3">
        <f t="shared" si="2"/>
        <v>616.3768209893791</v>
      </c>
      <c r="F40" s="23">
        <f t="shared" si="3"/>
        <v>0</v>
      </c>
      <c r="G40" s="1"/>
      <c r="H40" s="1"/>
      <c r="I40" s="1"/>
      <c r="J40" s="1"/>
      <c r="K40" s="1"/>
      <c r="L40" s="1"/>
      <c r="M40" s="1"/>
      <c r="N40" s="1"/>
      <c r="O40" s="1"/>
    </row>
    <row r="41" spans="1:15" ht="19.5" x14ac:dyDescent="0.25">
      <c r="A41" s="4">
        <v>0.36</v>
      </c>
      <c r="B41" s="2">
        <f t="shared" si="0"/>
        <v>0.61018767993225032</v>
      </c>
      <c r="C41" s="22">
        <v>61.856484205544483</v>
      </c>
      <c r="D41" s="3">
        <f t="shared" si="1"/>
        <v>1694.9657775895841</v>
      </c>
      <c r="E41" s="3">
        <f t="shared" si="2"/>
        <v>609.0817501058583</v>
      </c>
      <c r="F41" s="23">
        <f t="shared" si="3"/>
        <v>0</v>
      </c>
      <c r="G41" s="1"/>
      <c r="H41" s="1"/>
      <c r="I41" s="1"/>
      <c r="J41" s="1"/>
      <c r="K41" s="1"/>
      <c r="L41" s="1"/>
      <c r="M41" s="1"/>
      <c r="N41" s="1"/>
      <c r="O41" s="1"/>
    </row>
    <row r="42" spans="1:15" ht="19.5" x14ac:dyDescent="0.25">
      <c r="A42" s="4">
        <v>0.37</v>
      </c>
      <c r="B42" s="2">
        <f t="shared" si="0"/>
        <v>0.62078561079938677</v>
      </c>
      <c r="C42" s="22">
        <v>61.498162177151414</v>
      </c>
      <c r="D42" s="3">
        <f t="shared" si="1"/>
        <v>1677.7989481064506</v>
      </c>
      <c r="E42" s="3">
        <f t="shared" si="2"/>
        <v>601.92760190573483</v>
      </c>
      <c r="F42" s="23">
        <f t="shared" si="3"/>
        <v>0</v>
      </c>
      <c r="G42" s="1"/>
      <c r="H42" s="1"/>
      <c r="I42" s="1"/>
      <c r="J42" s="1"/>
      <c r="K42" s="1"/>
      <c r="L42" s="1"/>
      <c r="M42" s="1"/>
      <c r="N42" s="1"/>
      <c r="O42" s="1"/>
    </row>
    <row r="43" spans="1:15" ht="19.5" x14ac:dyDescent="0.25">
      <c r="A43" s="4">
        <v>0.38</v>
      </c>
      <c r="B43" s="2">
        <f t="shared" si="0"/>
        <v>0.63115533075016905</v>
      </c>
      <c r="C43" s="22">
        <v>61.143440275779234</v>
      </c>
      <c r="D43" s="3">
        <f t="shared" si="1"/>
        <v>1660.9350809214975</v>
      </c>
      <c r="E43" s="3">
        <f t="shared" si="2"/>
        <v>594.91075685456633</v>
      </c>
      <c r="F43" s="23">
        <f t="shared" si="3"/>
        <v>0</v>
      </c>
      <c r="G43" s="1"/>
      <c r="H43" s="1"/>
      <c r="I43" s="1"/>
      <c r="J43" s="1"/>
      <c r="K43" s="1"/>
      <c r="L43" s="1"/>
      <c r="M43" s="1"/>
      <c r="N43" s="1"/>
      <c r="O43" s="1"/>
    </row>
    <row r="44" spans="1:15" ht="19.5" x14ac:dyDescent="0.25">
      <c r="A44" s="4">
        <v>0.39</v>
      </c>
      <c r="B44" s="2">
        <f t="shared" si="0"/>
        <v>0.64130309813342556</v>
      </c>
      <c r="C44" s="22">
        <v>60.792261412643271</v>
      </c>
      <c r="D44" s="3">
        <f t="shared" si="1"/>
        <v>1644.3669182908347</v>
      </c>
      <c r="E44" s="3">
        <f t="shared" si="2"/>
        <v>588.02770797799133</v>
      </c>
      <c r="F44" s="23">
        <f t="shared" si="3"/>
        <v>0</v>
      </c>
      <c r="G44" s="1"/>
      <c r="H44" s="1"/>
      <c r="I44" s="1"/>
      <c r="J44" s="1"/>
      <c r="K44" s="1"/>
      <c r="L44" s="1"/>
      <c r="M44" s="1"/>
      <c r="N44" s="1"/>
      <c r="O44" s="1"/>
    </row>
    <row r="45" spans="1:15" ht="19.5" x14ac:dyDescent="0.25">
      <c r="A45" s="4">
        <v>0.4</v>
      </c>
      <c r="B45" s="2">
        <f t="shared" si="0"/>
        <v>0.65123496588443397</v>
      </c>
      <c r="C45" s="22">
        <v>60.444569629325059</v>
      </c>
      <c r="D45" s="3">
        <f t="shared" si="1"/>
        <v>1628.0874147110849</v>
      </c>
      <c r="E45" s="3">
        <f t="shared" si="2"/>
        <v>581.27505685927679</v>
      </c>
      <c r="F45" s="23">
        <f t="shared" si="3"/>
        <v>0</v>
      </c>
      <c r="G45" s="1"/>
      <c r="H45" s="1"/>
      <c r="I45" s="1"/>
      <c r="J45" s="1"/>
      <c r="K45" s="1"/>
      <c r="L45" s="1"/>
      <c r="M45" s="1"/>
      <c r="N45" s="1"/>
      <c r="O45" s="1"/>
    </row>
    <row r="46" spans="1:15" ht="19.5" x14ac:dyDescent="0.25">
      <c r="A46" s="4">
        <v>0.41</v>
      </c>
      <c r="B46" s="2">
        <f t="shared" si="0"/>
        <v>0.66095678922229961</v>
      </c>
      <c r="C46" s="22">
        <v>60.100310073749839</v>
      </c>
      <c r="D46" s="3">
        <f t="shared" si="1"/>
        <v>1612.0897298104869</v>
      </c>
      <c r="E46" s="3">
        <f t="shared" si="2"/>
        <v>574.64950979271146</v>
      </c>
      <c r="F46" s="23">
        <f t="shared" si="3"/>
        <v>6.2527760746888816E-13</v>
      </c>
      <c r="G46" s="1"/>
      <c r="H46" s="1"/>
      <c r="I46" s="1"/>
      <c r="J46" s="1"/>
      <c r="K46" s="1"/>
      <c r="L46" s="1"/>
      <c r="M46" s="1"/>
      <c r="N46" s="1"/>
      <c r="O46" s="1"/>
    </row>
    <row r="47" spans="1:15" ht="19.5" x14ac:dyDescent="0.25">
      <c r="A47" s="4">
        <v>0.42</v>
      </c>
      <c r="B47" s="2">
        <f t="shared" si="0"/>
        <v>0.67047423302986275</v>
      </c>
      <c r="C47" s="22">
        <v>59.759428976588588</v>
      </c>
      <c r="D47" s="3">
        <f t="shared" si="1"/>
        <v>1596.3672214996732</v>
      </c>
      <c r="E47" s="3">
        <f t="shared" si="2"/>
        <v>568.14787408644463</v>
      </c>
      <c r="F47" s="23">
        <f t="shared" si="3"/>
        <v>-6.2527760746888816E-13</v>
      </c>
      <c r="G47" s="1"/>
      <c r="H47" s="1"/>
      <c r="I47" s="1"/>
      <c r="J47" s="1"/>
      <c r="K47" s="1"/>
      <c r="L47" s="1"/>
      <c r="M47" s="1"/>
      <c r="N47" s="1"/>
      <c r="O47" s="1"/>
    </row>
    <row r="48" spans="1:15" ht="19.5" x14ac:dyDescent="0.25">
      <c r="A48" s="4">
        <v>0.43</v>
      </c>
      <c r="B48" s="2">
        <f t="shared" si="0"/>
        <v>0.6797927789300483</v>
      </c>
      <c r="C48" s="22">
        <v>59.421873628086516</v>
      </c>
      <c r="D48" s="3">
        <f t="shared" si="1"/>
        <v>1580.9134393722052</v>
      </c>
      <c r="E48" s="3">
        <f t="shared" si="2"/>
        <v>561.76705450868712</v>
      </c>
      <c r="F48" s="23">
        <f t="shared" si="3"/>
        <v>0</v>
      </c>
      <c r="G48" s="1"/>
      <c r="H48" s="1"/>
      <c r="I48" s="1"/>
      <c r="J48" s="1"/>
      <c r="K48" s="1"/>
      <c r="L48" s="1"/>
      <c r="M48" s="1"/>
      <c r="N48" s="1"/>
      <c r="O48" s="1"/>
    </row>
    <row r="49" spans="1:15" ht="19.5" x14ac:dyDescent="0.25">
      <c r="A49" s="4">
        <v>0.44</v>
      </c>
      <c r="B49" s="2">
        <f t="shared" si="0"/>
        <v>0.68891773207202323</v>
      </c>
      <c r="C49" s="22">
        <v>59.087592355320155</v>
      </c>
      <c r="D49" s="3">
        <f t="shared" si="1"/>
        <v>1565.7221183455074</v>
      </c>
      <c r="E49" s="3">
        <f t="shared" si="2"/>
        <v>555.50404987138677</v>
      </c>
      <c r="F49" s="23">
        <f t="shared" si="3"/>
        <v>0</v>
      </c>
      <c r="G49" s="1"/>
      <c r="H49" s="1"/>
      <c r="I49" s="1"/>
      <c r="J49" s="1"/>
      <c r="K49" s="1"/>
      <c r="L49" s="1"/>
      <c r="M49" s="1"/>
      <c r="N49" s="1"/>
      <c r="O49" s="1"/>
    </row>
    <row r="50" spans="1:15" ht="19.5" x14ac:dyDescent="0.25">
      <c r="A50" s="4">
        <v>0.45</v>
      </c>
      <c r="B50" s="2">
        <f t="shared" si="0"/>
        <v>0.69785422763982941</v>
      </c>
      <c r="C50" s="22">
        <v>58.756534499882065</v>
      </c>
      <c r="D50" s="3">
        <f t="shared" si="1"/>
        <v>1550.7871725329542</v>
      </c>
      <c r="E50" s="3">
        <f t="shared" si="2"/>
        <v>549.35594974576554</v>
      </c>
      <c r="F50" s="23">
        <f t="shared" si="3"/>
        <v>-5.1159076974727213E-13</v>
      </c>
      <c r="G50" s="1"/>
      <c r="H50" s="1"/>
      <c r="I50" s="1"/>
      <c r="J50" s="1"/>
      <c r="K50" s="1"/>
      <c r="L50" s="1"/>
      <c r="M50" s="1"/>
      <c r="N50" s="1"/>
      <c r="O50" s="1"/>
    </row>
    <row r="51" spans="1:15" ht="19.5" x14ac:dyDescent="0.25">
      <c r="A51" s="4">
        <v>0.46</v>
      </c>
      <c r="B51" s="2">
        <f t="shared" si="0"/>
        <v>0.7066072370956642</v>
      </c>
      <c r="C51" s="22">
        <v>58.428650395993678</v>
      </c>
      <c r="D51" s="3">
        <f t="shared" si="1"/>
        <v>1536.1026893384005</v>
      </c>
      <c r="E51" s="3">
        <f t="shared" si="2"/>
        <v>543.31993130432454</v>
      </c>
      <c r="F51" s="23">
        <f t="shared" si="3"/>
        <v>5.1159076974727213E-13</v>
      </c>
      <c r="G51" s="1"/>
      <c r="H51" s="1"/>
      <c r="I51" s="1"/>
      <c r="J51" s="1"/>
      <c r="K51" s="1"/>
      <c r="L51" s="1"/>
      <c r="M51" s="1"/>
      <c r="N51" s="1"/>
      <c r="O51" s="1"/>
    </row>
    <row r="52" spans="1:15" ht="19.5" x14ac:dyDescent="0.25">
      <c r="A52" s="4">
        <v>0.47</v>
      </c>
      <c r="B52" s="2">
        <f t="shared" si="0"/>
        <v>0.71518157416940287</v>
      </c>
      <c r="C52" s="22">
        <v>58.103891349044559</v>
      </c>
      <c r="D52" s="3">
        <f t="shared" si="1"/>
        <v>1521.6629237646871</v>
      </c>
      <c r="E52" s="3">
        <f t="shared" si="2"/>
        <v>537.39325628414588</v>
      </c>
      <c r="F52" s="23">
        <f t="shared" si="3"/>
        <v>0</v>
      </c>
      <c r="G52" s="1"/>
      <c r="H52" s="1"/>
      <c r="I52" s="1"/>
      <c r="J52" s="1"/>
      <c r="K52" s="1"/>
      <c r="L52" s="1"/>
      <c r="M52" s="1"/>
      <c r="N52" s="1"/>
      <c r="O52" s="1"/>
    </row>
    <row r="53" spans="1:15" ht="19.5" x14ac:dyDescent="0.25">
      <c r="A53" s="4">
        <v>0.48</v>
      </c>
      <c r="B53" s="2">
        <f t="shared" si="0"/>
        <v>0.72358190060539906</v>
      </c>
      <c r="C53" s="22">
        <v>57.78220961455613</v>
      </c>
      <c r="D53" s="3">
        <f t="shared" si="1"/>
        <v>1507.4622929279146</v>
      </c>
      <c r="E53" s="3">
        <f t="shared" si="2"/>
        <v>531.57326806653998</v>
      </c>
      <c r="F53" s="23">
        <f t="shared" si="3"/>
        <v>0</v>
      </c>
      <c r="G53" s="1"/>
      <c r="H53" s="1"/>
      <c r="I53" s="1"/>
      <c r="J53" s="1"/>
      <c r="K53" s="1"/>
      <c r="L53" s="1"/>
      <c r="M53" s="1"/>
      <c r="N53" s="1"/>
      <c r="O53" s="1"/>
    </row>
    <row r="54" spans="1:15" ht="19.5" x14ac:dyDescent="0.25">
      <c r="A54" s="4">
        <v>0.49</v>
      </c>
      <c r="B54" s="2">
        <f t="shared" si="0"/>
        <v>0.73181273167717253</v>
      </c>
      <c r="C54" s="22">
        <v>57.463558377567438</v>
      </c>
      <c r="D54" s="3">
        <f t="shared" si="1"/>
        <v>1493.49537076974</v>
      </c>
      <c r="E54" s="3">
        <f t="shared" si="2"/>
        <v>525.85738886828881</v>
      </c>
      <c r="F54" s="23">
        <f t="shared" si="3"/>
        <v>0</v>
      </c>
      <c r="G54" s="1"/>
      <c r="H54" s="1"/>
      <c r="I54" s="1"/>
      <c r="J54" s="1"/>
      <c r="K54" s="1"/>
      <c r="L54" s="1"/>
      <c r="M54" s="1"/>
      <c r="N54" s="1"/>
      <c r="O54" s="1"/>
    </row>
    <row r="55" spans="1:15" ht="19.5" x14ac:dyDescent="0.25">
      <c r="A55" s="4">
        <v>0.5</v>
      </c>
      <c r="B55" s="2">
        <f t="shared" si="0"/>
        <v>0.73987844148003423</v>
      </c>
      <c r="C55" s="22">
        <v>57.14789173243993</v>
      </c>
      <c r="D55" s="3">
        <f t="shared" si="1"/>
        <v>1479.7568829600684</v>
      </c>
      <c r="E55" s="3">
        <f t="shared" si="2"/>
        <v>520.24311703993112</v>
      </c>
      <c r="F55" s="23">
        <f t="shared" si="3"/>
        <v>0</v>
      </c>
      <c r="G55" s="1"/>
      <c r="H55" s="1"/>
      <c r="I55" s="1"/>
      <c r="J55" s="1"/>
      <c r="K55" s="1"/>
      <c r="L55" s="1"/>
      <c r="M55" s="1"/>
      <c r="N55" s="1"/>
      <c r="O55" s="1"/>
    </row>
    <row r="56" spans="1:15" ht="19.5" x14ac:dyDescent="0.25">
      <c r="A56" s="4">
        <v>0.51</v>
      </c>
      <c r="B56" s="2">
        <f t="shared" si="0"/>
        <v>0.7477832680113029</v>
      </c>
      <c r="C56" s="22">
        <v>56.835164663077173</v>
      </c>
      <c r="D56" s="3">
        <f t="shared" si="1"/>
        <v>1466.2417019829468</v>
      </c>
      <c r="E56" s="3">
        <f t="shared" si="2"/>
        <v>514.72802446673074</v>
      </c>
      <c r="F56" s="23">
        <f t="shared" si="3"/>
        <v>-9.3791641120333225E-13</v>
      </c>
      <c r="G56" s="1"/>
      <c r="H56" s="1"/>
      <c r="I56" s="1"/>
      <c r="J56" s="1"/>
      <c r="K56" s="1"/>
      <c r="L56" s="1"/>
      <c r="M56" s="1"/>
      <c r="N56" s="1"/>
      <c r="O56" s="1"/>
    </row>
    <row r="57" spans="1:15" ht="19.5" x14ac:dyDescent="0.25">
      <c r="A57" s="4">
        <v>0.52</v>
      </c>
      <c r="B57" s="2">
        <f t="shared" si="0"/>
        <v>0.75553131804728491</v>
      </c>
      <c r="C57" s="22">
        <v>56.525333023556207</v>
      </c>
      <c r="D57" s="3">
        <f t="shared" si="1"/>
        <v>1452.9448423986248</v>
      </c>
      <c r="E57" s="3">
        <f t="shared" si="2"/>
        <v>509.30975406815475</v>
      </c>
      <c r="F57" s="23">
        <f t="shared" si="3"/>
        <v>8.2422957348171622E-13</v>
      </c>
      <c r="G57" s="1"/>
      <c r="H57" s="1"/>
      <c r="I57" s="1"/>
      <c r="J57" s="1"/>
      <c r="K57" s="1"/>
      <c r="L57" s="1"/>
      <c r="M57" s="1"/>
      <c r="N57" s="1"/>
      <c r="O57" s="1"/>
    </row>
    <row r="58" spans="1:15" ht="19.5" x14ac:dyDescent="0.25">
      <c r="A58" s="4">
        <v>0.53</v>
      </c>
      <c r="B58" s="2">
        <f t="shared" si="0"/>
        <v>0.76312657182582899</v>
      </c>
      <c r="C58" s="22">
        <v>56.218353519165468</v>
      </c>
      <c r="D58" s="3">
        <f t="shared" si="1"/>
        <v>1439.8614562751491</v>
      </c>
      <c r="E58" s="3">
        <f t="shared" si="2"/>
        <v>503.98601739185335</v>
      </c>
      <c r="F58" s="23">
        <f t="shared" si="3"/>
        <v>0</v>
      </c>
      <c r="G58" s="1"/>
      <c r="H58" s="1"/>
      <c r="I58" s="1"/>
      <c r="J58" s="1"/>
      <c r="K58" s="1"/>
      <c r="L58" s="1"/>
      <c r="M58" s="1"/>
      <c r="N58" s="1"/>
      <c r="O58" s="1"/>
    </row>
    <row r="59" spans="1:15" ht="19.5" x14ac:dyDescent="0.25">
      <c r="A59" s="4">
        <v>0.54</v>
      </c>
      <c r="B59" s="2">
        <f t="shared" si="0"/>
        <v>0.77057288754278164</v>
      </c>
      <c r="C59" s="22">
        <v>55.91418368784494</v>
      </c>
      <c r="D59" s="3">
        <f t="shared" si="1"/>
        <v>1426.9868287829288</v>
      </c>
      <c r="E59" s="3">
        <f t="shared" si="2"/>
        <v>498.75459229830165</v>
      </c>
      <c r="F59" s="23">
        <f t="shared" si="3"/>
        <v>-3.1263880373444408E-13</v>
      </c>
      <c r="G59" s="1"/>
      <c r="H59" s="1"/>
      <c r="I59" s="1"/>
      <c r="J59" s="1"/>
      <c r="K59" s="1"/>
      <c r="L59" s="1"/>
      <c r="M59" s="1"/>
      <c r="N59" s="1"/>
      <c r="O59" s="1"/>
    </row>
    <row r="60" spans="1:15" ht="19.5" x14ac:dyDescent="0.25">
      <c r="A60" s="4">
        <v>0.55000000000000004</v>
      </c>
      <c r="B60" s="2">
        <f t="shared" si="0"/>
        <v>0.7778740056704011</v>
      </c>
      <c r="C60" s="22">
        <v>55.612781882023086</v>
      </c>
      <c r="D60" s="3">
        <f t="shared" si="1"/>
        <v>1414.3163739461836</v>
      </c>
      <c r="E60" s="3">
        <f t="shared" si="2"/>
        <v>493.6133207324425</v>
      </c>
      <c r="F60" s="23">
        <f t="shared" si="3"/>
        <v>0</v>
      </c>
      <c r="G60" s="1"/>
      <c r="H60" s="1"/>
      <c r="I60" s="1"/>
      <c r="J60" s="1"/>
      <c r="K60" s="1"/>
      <c r="L60" s="1"/>
      <c r="M60" s="1"/>
      <c r="N60" s="1"/>
      <c r="O60" s="1"/>
    </row>
    <row r="61" spans="1:15" ht="19.5" x14ac:dyDescent="0.25">
      <c r="A61" s="4">
        <v>0.56000000000000005</v>
      </c>
      <c r="B61" s="2">
        <f t="shared" si="0"/>
        <v>0.78503355310533096</v>
      </c>
      <c r="C61" s="22">
        <v>55.314107250845488</v>
      </c>
      <c r="D61" s="3">
        <f t="shared" si="1"/>
        <v>1401.8456305452337</v>
      </c>
      <c r="E61" s="3">
        <f t="shared" si="2"/>
        <v>488.56010657879335</v>
      </c>
      <c r="F61" s="23">
        <f t="shared" si="3"/>
        <v>0</v>
      </c>
      <c r="G61" s="1"/>
      <c r="H61" s="1"/>
      <c r="I61" s="1"/>
      <c r="J61" s="1"/>
      <c r="K61" s="1"/>
      <c r="L61" s="1"/>
      <c r="M61" s="1"/>
      <c r="N61" s="1"/>
      <c r="O61" s="1"/>
    </row>
    <row r="62" spans="1:15" ht="19.5" x14ac:dyDescent="0.25">
      <c r="A62" s="4">
        <v>0.56999999999999995</v>
      </c>
      <c r="B62" s="2">
        <f t="shared" si="0"/>
        <v>0.79205504715343233</v>
      </c>
      <c r="C62" s="22">
        <v>55.018119722789883</v>
      </c>
      <c r="D62" s="3">
        <f t="shared" si="1"/>
        <v>1389.5702581639166</v>
      </c>
      <c r="E62" s="3">
        <f t="shared" si="2"/>
        <v>483.59291359666872</v>
      </c>
      <c r="F62" s="23">
        <f t="shared" si="3"/>
        <v>0</v>
      </c>
      <c r="G62" s="1"/>
      <c r="H62" s="1"/>
      <c r="I62" s="1"/>
      <c r="J62" s="1"/>
      <c r="K62" s="1"/>
      <c r="L62" s="1"/>
      <c r="M62" s="1"/>
      <c r="N62" s="1"/>
      <c r="O62" s="1"/>
    </row>
    <row r="63" spans="1:15" ht="19.5" x14ac:dyDescent="0.25">
      <c r="A63" s="4">
        <v>0.57999999999999996</v>
      </c>
      <c r="B63" s="2">
        <f t="shared" si="0"/>
        <v>0.79894189935845106</v>
      </c>
      <c r="C63" s="22">
        <v>54.724779988660885</v>
      </c>
      <c r="D63" s="3">
        <f t="shared" si="1"/>
        <v>1377.4860333766399</v>
      </c>
      <c r="E63" s="3">
        <f t="shared" si="2"/>
        <v>478.70976343225919</v>
      </c>
      <c r="F63" s="23">
        <f t="shared" si="3"/>
        <v>0</v>
      </c>
      <c r="G63" s="1"/>
      <c r="H63" s="1"/>
      <c r="I63" s="1"/>
      <c r="J63" s="1"/>
      <c r="K63" s="1"/>
      <c r="L63" s="1"/>
      <c r="M63" s="1"/>
      <c r="N63" s="1"/>
      <c r="O63" s="1"/>
    </row>
    <row r="64" spans="1:15" ht="19.5" x14ac:dyDescent="0.25">
      <c r="A64" s="4">
        <v>0.59</v>
      </c>
      <c r="B64" s="2">
        <f t="shared" si="0"/>
        <v>0.80569741918115545</v>
      </c>
      <c r="C64" s="22">
        <v>54.43404948495958</v>
      </c>
      <c r="D64" s="3">
        <f t="shared" si="1"/>
        <v>1365.5888460697549</v>
      </c>
      <c r="E64" s="3">
        <f t="shared" si="2"/>
        <v>473.90873370449924</v>
      </c>
      <c r="F64" s="23">
        <f t="shared" si="3"/>
        <v>0</v>
      </c>
      <c r="G64" s="1"/>
      <c r="H64" s="1"/>
      <c r="I64" s="1"/>
      <c r="J64" s="1"/>
      <c r="K64" s="1"/>
      <c r="L64" s="1"/>
      <c r="M64" s="1"/>
      <c r="N64" s="1"/>
      <c r="O64" s="1"/>
    </row>
    <row r="65" spans="1:15" ht="19.5" x14ac:dyDescent="0.25">
      <c r="A65" s="4">
        <v>0.6</v>
      </c>
      <c r="B65" s="2">
        <f t="shared" si="0"/>
        <v>0.81232481753530272</v>
      </c>
      <c r="C65" s="22">
        <v>54.145890377621349</v>
      </c>
      <c r="D65" s="3">
        <f t="shared" si="1"/>
        <v>1353.8746958921713</v>
      </c>
      <c r="E65" s="3">
        <f t="shared" si="2"/>
        <v>469.18795616174293</v>
      </c>
      <c r="F65" s="23">
        <f t="shared" si="3"/>
        <v>0</v>
      </c>
      <c r="G65" s="1"/>
      <c r="H65" s="1"/>
      <c r="I65" s="1"/>
      <c r="J65" s="1"/>
      <c r="K65" s="1"/>
      <c r="L65" s="1"/>
      <c r="M65" s="1"/>
      <c r="N65" s="1"/>
      <c r="O65" s="1"/>
    </row>
    <row r="66" spans="1:15" ht="19.5" x14ac:dyDescent="0.25">
      <c r="A66" s="4">
        <v>0.61</v>
      </c>
      <c r="B66" s="2">
        <f t="shared" si="0"/>
        <v>0.81882721018649485</v>
      </c>
      <c r="C66" s="22">
        <v>53.860265546115656</v>
      </c>
      <c r="D66" s="3">
        <f t="shared" si="1"/>
        <v>1342.3396888303196</v>
      </c>
      <c r="E66" s="3">
        <f t="shared" si="2"/>
        <v>464.5456149064243</v>
      </c>
      <c r="F66" s="23">
        <f t="shared" si="3"/>
        <v>-3.694822225952521E-13</v>
      </c>
      <c r="G66" s="1"/>
      <c r="H66" s="1"/>
      <c r="I66" s="1"/>
      <c r="J66" s="1"/>
      <c r="K66" s="1"/>
      <c r="L66" s="1"/>
      <c r="M66" s="1"/>
      <c r="N66" s="1"/>
      <c r="O66" s="1"/>
    </row>
    <row r="67" spans="1:15" ht="19.5" x14ac:dyDescent="0.25">
      <c r="A67" s="4">
        <v>0.62</v>
      </c>
      <c r="B67" s="2">
        <f t="shared" si="0"/>
        <v>0.82520762101971412</v>
      </c>
      <c r="C67" s="22">
        <v>53.577138567901635</v>
      </c>
      <c r="D67" s="3">
        <f t="shared" si="1"/>
        <v>1330.9800339027647</v>
      </c>
      <c r="E67" s="3">
        <f t="shared" si="2"/>
        <v>459.9799446849633</v>
      </c>
      <c r="F67" s="23">
        <f t="shared" si="3"/>
        <v>0</v>
      </c>
      <c r="G67" s="1"/>
      <c r="H67" s="1"/>
      <c r="I67" s="1"/>
      <c r="J67" s="1"/>
      <c r="K67" s="1"/>
      <c r="L67" s="1"/>
      <c r="M67" s="1"/>
      <c r="N67" s="1"/>
      <c r="O67" s="1"/>
    </row>
    <row r="68" spans="1:15" ht="19.5" x14ac:dyDescent="0.25">
      <c r="A68" s="4">
        <v>0.63</v>
      </c>
      <c r="B68" s="2">
        <f t="shared" si="0"/>
        <v>0.83146898518108037</v>
      </c>
      <c r="C68" s="22">
        <v>53.296473703233559</v>
      </c>
      <c r="D68" s="3">
        <f t="shared" si="1"/>
        <v>1319.7920399699688</v>
      </c>
      <c r="E68" s="3">
        <f t="shared" si="2"/>
        <v>455.48922924032769</v>
      </c>
      <c r="F68" s="23">
        <f t="shared" si="3"/>
        <v>-1.6200374375330284E-12</v>
      </c>
      <c r="G68" s="1"/>
      <c r="H68" s="1"/>
      <c r="I68" s="1"/>
      <c r="J68" s="1"/>
      <c r="K68" s="1"/>
      <c r="L68" s="1"/>
      <c r="M68" s="1"/>
      <c r="N68" s="1"/>
      <c r="O68" s="1"/>
    </row>
    <row r="69" spans="1:15" ht="19.5" x14ac:dyDescent="0.25">
      <c r="A69" s="4">
        <v>0.64</v>
      </c>
      <c r="B69" s="2">
        <f t="shared" si="0"/>
        <v>0.83761415209908785</v>
      </c>
      <c r="C69" s="22">
        <v>53.018235880308922</v>
      </c>
      <c r="D69" s="3">
        <f t="shared" si="1"/>
        <v>1308.7721126548247</v>
      </c>
      <c r="E69" s="3">
        <f t="shared" si="2"/>
        <v>451.07179972475643</v>
      </c>
      <c r="F69" s="23">
        <f t="shared" si="3"/>
        <v>0</v>
      </c>
      <c r="G69" s="1"/>
      <c r="H69" s="1"/>
      <c r="I69" s="1"/>
      <c r="J69" s="1"/>
      <c r="K69" s="1"/>
      <c r="L69" s="1"/>
      <c r="M69" s="1"/>
      <c r="N69" s="1"/>
      <c r="O69" s="1"/>
    </row>
    <row r="70" spans="1:15" ht="19.5" x14ac:dyDescent="0.25">
      <c r="A70" s="4">
        <v>0.65</v>
      </c>
      <c r="B70" s="2">
        <f t="shared" si="0"/>
        <v>0.8436458883904181</v>
      </c>
      <c r="C70" s="22">
        <v>52.742390680753587</v>
      </c>
      <c r="D70" s="3">
        <f t="shared" si="1"/>
        <v>1297.916751369874</v>
      </c>
      <c r="E70" s="3">
        <f t="shared" si="2"/>
        <v>446.72603317023646</v>
      </c>
      <c r="F70" s="23">
        <f t="shared" si="3"/>
        <v>-8.8107299234252423E-13</v>
      </c>
      <c r="G70" s="1"/>
      <c r="H70" s="1"/>
      <c r="I70" s="1"/>
      <c r="J70" s="1"/>
      <c r="K70" s="1"/>
      <c r="L70" s="1"/>
      <c r="M70" s="1"/>
      <c r="N70" s="1"/>
      <c r="O70" s="1"/>
    </row>
    <row r="71" spans="1:15" ht="19.5" x14ac:dyDescent="0.25">
      <c r="A71" s="4">
        <v>0.66</v>
      </c>
      <c r="B71" s="2">
        <f t="shared" ref="B71:B105" si="4">+A71*D71/$F$2</f>
        <v>0.84956688065508079</v>
      </c>
      <c r="C71" s="22">
        <v>52.468904325436789</v>
      </c>
      <c r="D71" s="3">
        <f t="shared" ref="D71:D105" si="5">10^($I$4-$J$4/(C71+$K$4))</f>
        <v>1287.2225464470921</v>
      </c>
      <c r="E71" s="3">
        <f t="shared" ref="E71:E105" si="6">10^($I$5-$J$5/($K$5+C71))</f>
        <v>442.45035101446717</v>
      </c>
      <c r="F71" s="23">
        <f t="shared" ref="F71:F105" si="7">$F$2-A71*D71-(1-A71)*E71</f>
        <v>3.694822225952521E-13</v>
      </c>
      <c r="G71" s="1"/>
      <c r="H71" s="1"/>
      <c r="I71" s="1"/>
      <c r="J71" s="1"/>
      <c r="K71" s="1"/>
      <c r="L71" s="1"/>
      <c r="M71" s="1"/>
      <c r="N71" s="1"/>
      <c r="O71" s="1"/>
    </row>
    <row r="72" spans="1:15" ht="19.5" x14ac:dyDescent="0.25">
      <c r="A72" s="4">
        <v>0.67</v>
      </c>
      <c r="B72" s="2">
        <f t="shared" si="4"/>
        <v>0.85537973816556978</v>
      </c>
      <c r="C72" s="22">
        <v>52.197743660610243</v>
      </c>
      <c r="D72" s="3">
        <f t="shared" si="5"/>
        <v>1276.686176366522</v>
      </c>
      <c r="E72" s="3">
        <f t="shared" si="6"/>
        <v>438.24321768009503</v>
      </c>
      <c r="F72" s="23">
        <f t="shared" si="7"/>
        <v>-1.0800249583553523E-12</v>
      </c>
      <c r="G72" s="1"/>
      <c r="H72" s="1"/>
      <c r="I72" s="1"/>
      <c r="J72" s="1"/>
      <c r="K72" s="1"/>
      <c r="L72" s="1"/>
      <c r="M72" s="1"/>
      <c r="N72" s="1"/>
      <c r="O72" s="1"/>
    </row>
    <row r="73" spans="1:15" ht="19.5" x14ac:dyDescent="0.25">
      <c r="A73" s="4">
        <v>0.68</v>
      </c>
      <c r="B73" s="2">
        <f t="shared" si="4"/>
        <v>0.86108699545435796</v>
      </c>
      <c r="C73" s="22">
        <v>51.928876144364082</v>
      </c>
      <c r="D73" s="3">
        <f t="shared" si="5"/>
        <v>1266.3044050799381</v>
      </c>
      <c r="E73" s="3">
        <f t="shared" si="6"/>
        <v>434.10313920513153</v>
      </c>
      <c r="F73" s="23">
        <f t="shared" si="7"/>
        <v>0</v>
      </c>
      <c r="G73" s="1"/>
      <c r="H73" s="1"/>
      <c r="I73" s="1"/>
      <c r="J73" s="1"/>
      <c r="K73" s="1"/>
      <c r="L73" s="1"/>
      <c r="M73" s="1"/>
      <c r="N73" s="1"/>
      <c r="O73" s="1"/>
    </row>
    <row r="74" spans="1:15" ht="19.5" x14ac:dyDescent="0.25">
      <c r="A74" s="4">
        <v>0.69</v>
      </c>
      <c r="B74" s="2">
        <f t="shared" si="4"/>
        <v>0.86669111480401073</v>
      </c>
      <c r="C74" s="22">
        <v>51.662269833394447</v>
      </c>
      <c r="D74" s="3">
        <f t="shared" si="5"/>
        <v>1256.0740794261026</v>
      </c>
      <c r="E74" s="3">
        <f t="shared" si="6"/>
        <v>430.02866192254328</v>
      </c>
      <c r="F74" s="23">
        <f t="shared" si="7"/>
        <v>8.8107299234252423E-13</v>
      </c>
      <c r="G74" s="1"/>
      <c r="H74" s="1"/>
      <c r="I74" s="1"/>
      <c r="J74" s="1"/>
      <c r="K74" s="1"/>
      <c r="L74" s="1"/>
      <c r="M74" s="1"/>
      <c r="N74" s="1"/>
      <c r="O74" s="1"/>
    </row>
    <row r="75" spans="1:15" ht="19.5" x14ac:dyDescent="0.25">
      <c r="A75" s="4">
        <v>0.7</v>
      </c>
      <c r="B75" s="2">
        <f t="shared" si="4"/>
        <v>0.87219448864388305</v>
      </c>
      <c r="C75" s="22">
        <v>51.397893370074605</v>
      </c>
      <c r="D75" s="3">
        <f t="shared" si="5"/>
        <v>1245.9921266341187</v>
      </c>
      <c r="E75" s="3">
        <f t="shared" si="6"/>
        <v>426.01837118705635</v>
      </c>
      <c r="F75" s="23">
        <f t="shared" si="7"/>
        <v>0</v>
      </c>
      <c r="G75" s="1"/>
      <c r="H75" s="1"/>
      <c r="I75" s="1"/>
      <c r="J75" s="1"/>
      <c r="K75" s="1"/>
      <c r="L75" s="1"/>
      <c r="M75" s="1"/>
      <c r="N75" s="1"/>
      <c r="O75" s="1"/>
    </row>
    <row r="76" spans="1:15" ht="19.5" x14ac:dyDescent="0.25">
      <c r="A76" s="4">
        <v>0.71</v>
      </c>
      <c r="B76" s="2">
        <f t="shared" si="4"/>
        <v>0.87759944185726313</v>
      </c>
      <c r="C76" s="22">
        <v>51.135715969824894</v>
      </c>
      <c r="D76" s="3">
        <f t="shared" si="5"/>
        <v>1236.0555519116383</v>
      </c>
      <c r="E76" s="3">
        <f t="shared" si="6"/>
        <v>422.07089014736857</v>
      </c>
      <c r="F76" s="23">
        <f t="shared" si="7"/>
        <v>0</v>
      </c>
      <c r="G76" s="1"/>
      <c r="H76" s="1"/>
      <c r="I76" s="1"/>
      <c r="J76" s="1"/>
      <c r="K76" s="1"/>
      <c r="L76" s="1"/>
      <c r="M76" s="1"/>
      <c r="N76" s="1"/>
      <c r="O76" s="1"/>
    </row>
    <row r="77" spans="1:15" ht="19.5" x14ac:dyDescent="0.25">
      <c r="A77" s="4">
        <v>0.72</v>
      </c>
      <c r="B77" s="2">
        <f t="shared" si="4"/>
        <v>0.88290823400264962</v>
      </c>
      <c r="C77" s="22">
        <v>50.875707408774382</v>
      </c>
      <c r="D77" s="3">
        <f t="shared" si="5"/>
        <v>1226.2614361147912</v>
      </c>
      <c r="E77" s="3">
        <f t="shared" si="6"/>
        <v>418.18487856196572</v>
      </c>
      <c r="F77" s="23">
        <f t="shared" si="7"/>
        <v>0</v>
      </c>
      <c r="G77" s="1"/>
      <c r="H77" s="1"/>
      <c r="I77" s="1"/>
      <c r="J77" s="1"/>
      <c r="K77" s="1"/>
      <c r="L77" s="1"/>
      <c r="M77" s="1"/>
      <c r="N77" s="1"/>
      <c r="O77" s="1"/>
    </row>
    <row r="78" spans="1:15" ht="19.5" x14ac:dyDescent="0.25">
      <c r="A78" s="4">
        <v>0.73</v>
      </c>
      <c r="B78" s="2">
        <f t="shared" si="4"/>
        <v>0.8881230614526533</v>
      </c>
      <c r="C78" s="22">
        <v>50.617838011707704</v>
      </c>
      <c r="D78" s="3">
        <f t="shared" si="5"/>
        <v>1216.6069334967854</v>
      </c>
      <c r="E78" s="3">
        <f t="shared" si="6"/>
        <v>414.35903165684016</v>
      </c>
      <c r="F78" s="23">
        <f t="shared" si="7"/>
        <v>0</v>
      </c>
      <c r="G78" s="1"/>
      <c r="H78" s="1"/>
      <c r="I78" s="1"/>
      <c r="J78" s="1"/>
      <c r="K78" s="1"/>
      <c r="L78" s="1"/>
      <c r="M78" s="1"/>
      <c r="N78" s="1"/>
      <c r="O78" s="1"/>
    </row>
    <row r="79" spans="1:15" ht="19.5" x14ac:dyDescent="0.25">
      <c r="A79" s="4">
        <v>0.74</v>
      </c>
      <c r="B79" s="2">
        <f t="shared" si="4"/>
        <v>0.89324605945388347</v>
      </c>
      <c r="C79" s="22">
        <v>50.36207864029187</v>
      </c>
      <c r="D79" s="3">
        <f t="shared" si="5"/>
        <v>1207.089269532275</v>
      </c>
      <c r="E79" s="3">
        <f t="shared" si="6"/>
        <v>410.5920790235229</v>
      </c>
      <c r="F79" s="23">
        <f t="shared" si="7"/>
        <v>5.4001247917767614E-13</v>
      </c>
      <c r="G79" s="1"/>
      <c r="H79" s="1"/>
      <c r="I79" s="1"/>
      <c r="J79" s="1"/>
      <c r="K79" s="1"/>
      <c r="L79" s="1"/>
      <c r="M79" s="1"/>
      <c r="N79" s="1"/>
      <c r="O79" s="1"/>
    </row>
    <row r="80" spans="1:15" ht="19.5" x14ac:dyDescent="0.25">
      <c r="A80" s="4">
        <v>0.75</v>
      </c>
      <c r="B80" s="2">
        <f t="shared" si="4"/>
        <v>0.89827930411104484</v>
      </c>
      <c r="C80" s="22">
        <v>50.108400681575993</v>
      </c>
      <c r="D80" s="3">
        <f t="shared" si="5"/>
        <v>1197.7057388147266</v>
      </c>
      <c r="E80" s="3">
        <f t="shared" si="6"/>
        <v>406.88278355581838</v>
      </c>
      <c r="F80" s="23">
        <f t="shared" si="7"/>
        <v>5.1159076974727213E-13</v>
      </c>
      <c r="G80" s="1"/>
      <c r="H80" s="1"/>
      <c r="I80" s="1"/>
      <c r="J80" s="1"/>
      <c r="K80" s="1"/>
      <c r="L80" s="1"/>
      <c r="M80" s="1"/>
      <c r="N80" s="1"/>
      <c r="O80" s="1"/>
    </row>
    <row r="81" spans="1:15" ht="19.5" x14ac:dyDescent="0.25">
      <c r="A81" s="4">
        <v>0.76</v>
      </c>
      <c r="B81" s="2">
        <f t="shared" si="4"/>
        <v>0.90322481429829327</v>
      </c>
      <c r="C81" s="22">
        <v>49.85677603675812</v>
      </c>
      <c r="D81" s="3">
        <f t="shared" si="5"/>
        <v>1188.4537030240701</v>
      </c>
      <c r="E81" s="3">
        <f t="shared" si="6"/>
        <v>403.22994042377763</v>
      </c>
      <c r="F81" s="23">
        <f t="shared" si="7"/>
        <v>0</v>
      </c>
      <c r="G81" s="1"/>
      <c r="H81" s="1"/>
      <c r="I81" s="1"/>
      <c r="J81" s="1"/>
      <c r="K81" s="1"/>
      <c r="L81" s="1"/>
      <c r="M81" s="1"/>
      <c r="N81" s="1"/>
      <c r="O81" s="1"/>
    </row>
    <row r="82" spans="1:15" ht="19.5" x14ac:dyDescent="0.25">
      <c r="A82" s="4">
        <v>0.77</v>
      </c>
      <c r="B82" s="2">
        <f t="shared" si="4"/>
        <v>0.90808455350080008</v>
      </c>
      <c r="C82" s="22">
        <v>49.607177110213804</v>
      </c>
      <c r="D82" s="3">
        <f t="shared" si="5"/>
        <v>1179.3305889620781</v>
      </c>
      <c r="E82" s="3">
        <f t="shared" si="6"/>
        <v>399.63237608347805</v>
      </c>
      <c r="F82" s="23">
        <f t="shared" si="7"/>
        <v>0</v>
      </c>
      <c r="G82" s="1"/>
      <c r="H82" s="1"/>
      <c r="I82" s="1"/>
      <c r="J82" s="1"/>
      <c r="K82" s="1"/>
      <c r="L82" s="1"/>
      <c r="M82" s="1"/>
      <c r="N82" s="1"/>
      <c r="O82" s="1"/>
    </row>
    <row r="83" spans="1:15" ht="19.5" x14ac:dyDescent="0.25">
      <c r="A83" s="4">
        <v>0.78</v>
      </c>
      <c r="B83" s="2">
        <f t="shared" si="4"/>
        <v>0.91286043158933439</v>
      </c>
      <c r="C83" s="22">
        <v>49.359576798779727</v>
      </c>
      <c r="D83" s="3">
        <f t="shared" si="5"/>
        <v>1170.3338866529928</v>
      </c>
      <c r="E83" s="3">
        <f t="shared" si="6"/>
        <v>396.08894732121001</v>
      </c>
      <c r="F83" s="23">
        <f t="shared" si="7"/>
        <v>-6.2527760746888816E-13</v>
      </c>
      <c r="G83" s="1"/>
      <c r="H83" s="1"/>
      <c r="I83" s="1"/>
      <c r="J83" s="1"/>
      <c r="K83" s="1"/>
      <c r="L83" s="1"/>
      <c r="M83" s="1"/>
      <c r="N83" s="1"/>
      <c r="O83" s="1"/>
    </row>
    <row r="84" spans="1:15" ht="19.5" x14ac:dyDescent="0.25">
      <c r="A84" s="4">
        <v>0.79</v>
      </c>
      <c r="B84" s="2">
        <f t="shared" si="4"/>
        <v>0.91755430653053549</v>
      </c>
      <c r="C84" s="22">
        <v>49.113948481287032</v>
      </c>
      <c r="D84" s="3">
        <f t="shared" si="5"/>
        <v>1161.4611475070069</v>
      </c>
      <c r="E84" s="3">
        <f t="shared" si="6"/>
        <v>392.59854033078722</v>
      </c>
      <c r="F84" s="23">
        <f t="shared" si="7"/>
        <v>-8.3844042819691822E-13</v>
      </c>
      <c r="G84" s="1"/>
      <c r="H84" s="1"/>
      <c r="I84" s="1"/>
      <c r="J84" s="1"/>
      <c r="K84" s="1"/>
      <c r="L84" s="1"/>
      <c r="M84" s="1"/>
      <c r="N84" s="1"/>
      <c r="O84" s="1"/>
    </row>
    <row r="85" spans="1:15" ht="19.5" x14ac:dyDescent="0.25">
      <c r="A85" s="4">
        <v>0.8</v>
      </c>
      <c r="B85" s="2">
        <f t="shared" si="4"/>
        <v>0.92216798603546601</v>
      </c>
      <c r="C85" s="22">
        <v>48.87026600833849</v>
      </c>
      <c r="D85" s="3">
        <f t="shared" si="5"/>
        <v>1152.7099825443324</v>
      </c>
      <c r="E85" s="3">
        <f t="shared" si="6"/>
        <v>389.16006982267419</v>
      </c>
      <c r="F85" s="23">
        <f t="shared" si="7"/>
        <v>-8.3844042819691822E-13</v>
      </c>
      <c r="G85" s="1"/>
      <c r="H85" s="1"/>
      <c r="I85" s="1"/>
      <c r="J85" s="1"/>
      <c r="K85" s="1"/>
      <c r="L85" s="1"/>
      <c r="M85" s="1"/>
      <c r="N85" s="1"/>
      <c r="O85" s="1"/>
    </row>
    <row r="86" spans="1:15" ht="19.5" x14ac:dyDescent="0.25">
      <c r="A86" s="4">
        <v>0.81</v>
      </c>
      <c r="B86" s="2">
        <f t="shared" si="4"/>
        <v>0.9267032291488837</v>
      </c>
      <c r="C86" s="22">
        <v>48.628503692324159</v>
      </c>
      <c r="D86" s="3">
        <f t="shared" si="5"/>
        <v>1144.0780606776341</v>
      </c>
      <c r="E86" s="3">
        <f t="shared" si="6"/>
        <v>385.77247816377445</v>
      </c>
      <c r="F86" s="23">
        <f t="shared" si="7"/>
        <v>-8.1001871876651421E-13</v>
      </c>
      <c r="G86" s="1"/>
      <c r="H86" s="1"/>
      <c r="I86" s="1"/>
      <c r="J86" s="1"/>
      <c r="K86" s="1"/>
      <c r="L86" s="1"/>
      <c r="M86" s="1"/>
      <c r="N86" s="1"/>
      <c r="O86" s="1"/>
    </row>
    <row r="87" spans="1:15" ht="19.5" x14ac:dyDescent="0.25">
      <c r="A87" s="4">
        <v>0.82</v>
      </c>
      <c r="B87" s="2">
        <f t="shared" si="4"/>
        <v>0.93116174778160077</v>
      </c>
      <c r="C87" s="22">
        <v>48.388636297669649</v>
      </c>
      <c r="D87" s="3">
        <f t="shared" si="5"/>
        <v>1135.5631070507327</v>
      </c>
      <c r="E87" s="3">
        <f t="shared" si="6"/>
        <v>382.43473454665036</v>
      </c>
      <c r="F87" s="23">
        <f t="shared" si="7"/>
        <v>2.1600499167107046E-12</v>
      </c>
      <c r="G87" s="1"/>
      <c r="H87" s="1"/>
      <c r="I87" s="1"/>
      <c r="J87" s="1"/>
      <c r="K87" s="1"/>
      <c r="L87" s="1"/>
      <c r="M87" s="1"/>
      <c r="N87" s="1"/>
      <c r="O87" s="1"/>
    </row>
    <row r="88" spans="1:15" ht="19.5" x14ac:dyDescent="0.25">
      <c r="A88" s="4">
        <v>0.83</v>
      </c>
      <c r="B88" s="2">
        <f t="shared" si="4"/>
        <v>0.93554520818818621</v>
      </c>
      <c r="C88" s="22">
        <v>48.150639031312032</v>
      </c>
      <c r="D88" s="3">
        <f t="shared" si="5"/>
        <v>1127.1629014315497</v>
      </c>
      <c r="E88" s="3">
        <f t="shared" si="6"/>
        <v>379.14583418713244</v>
      </c>
      <c r="F88" s="23">
        <f t="shared" si="7"/>
        <v>1.3073986337985843E-12</v>
      </c>
      <c r="G88" s="1"/>
      <c r="H88" s="1"/>
      <c r="I88" s="1"/>
      <c r="J88" s="1"/>
      <c r="K88" s="1"/>
      <c r="L88" s="1"/>
      <c r="M88" s="1"/>
      <c r="N88" s="1"/>
      <c r="O88" s="1"/>
    </row>
    <row r="89" spans="1:15" ht="19.5" x14ac:dyDescent="0.25">
      <c r="A89" s="4">
        <v>0.84</v>
      </c>
      <c r="B89" s="2">
        <f t="shared" si="4"/>
        <v>0.93985523239212931</v>
      </c>
      <c r="C89" s="22">
        <v>47.914487533397363</v>
      </c>
      <c r="D89" s="3">
        <f t="shared" si="5"/>
        <v>1118.8752766572968</v>
      </c>
      <c r="E89" s="3">
        <f t="shared" si="6"/>
        <v>375.90479754918397</v>
      </c>
      <c r="F89" s="23">
        <f t="shared" si="7"/>
        <v>1.2292389328649733E-12</v>
      </c>
      <c r="G89" s="1"/>
      <c r="H89" s="1"/>
      <c r="I89" s="1"/>
      <c r="J89" s="1"/>
      <c r="K89" s="1"/>
      <c r="L89" s="1"/>
      <c r="M89" s="1"/>
      <c r="N89" s="1"/>
      <c r="O89" s="1"/>
    </row>
    <row r="90" spans="1:15" ht="19.5" x14ac:dyDescent="0.25">
      <c r="A90" s="4">
        <v>0.85</v>
      </c>
      <c r="B90" s="2">
        <f t="shared" si="4"/>
        <v>0.94409339956059501</v>
      </c>
      <c r="C90" s="22">
        <v>47.68015786819533</v>
      </c>
      <c r="D90" s="3">
        <f t="shared" si="5"/>
        <v>1110.6981171301118</v>
      </c>
      <c r="E90" s="3">
        <f t="shared" si="6"/>
        <v>372.71066959603559</v>
      </c>
      <c r="F90" s="23">
        <f t="shared" si="7"/>
        <v>-3.4816594052244909E-13</v>
      </c>
      <c r="G90" s="1"/>
      <c r="H90" s="1"/>
      <c r="I90" s="1"/>
      <c r="J90" s="1"/>
      <c r="K90" s="1"/>
      <c r="L90" s="1"/>
      <c r="M90" s="1"/>
      <c r="N90" s="1"/>
      <c r="O90" s="1"/>
    </row>
    <row r="91" spans="1:15" ht="19.5" x14ac:dyDescent="0.25">
      <c r="A91" s="4">
        <v>0.86</v>
      </c>
      <c r="B91" s="2">
        <f t="shared" si="4"/>
        <v>0.94826124733067729</v>
      </c>
      <c r="C91" s="22">
        <v>47.447626515225785</v>
      </c>
      <c r="D91" s="3">
        <f t="shared" si="5"/>
        <v>1102.6293573612527</v>
      </c>
      <c r="E91" s="3">
        <f t="shared" si="6"/>
        <v>369.56251906659236</v>
      </c>
      <c r="F91" s="23">
        <f t="shared" si="7"/>
        <v>-2.2737367544323206E-13</v>
      </c>
      <c r="G91" s="1"/>
      <c r="H91" s="1"/>
      <c r="I91" s="1"/>
      <c r="J91" s="1"/>
      <c r="K91" s="1"/>
      <c r="L91" s="1"/>
      <c r="M91" s="1"/>
      <c r="N91" s="1"/>
      <c r="O91" s="1"/>
    </row>
    <row r="92" spans="1:15" ht="19.5" x14ac:dyDescent="0.25">
      <c r="A92" s="4">
        <v>0.87</v>
      </c>
      <c r="B92" s="2">
        <f t="shared" si="4"/>
        <v>0.95236027308909577</v>
      </c>
      <c r="C92" s="22">
        <v>47.216870360591713</v>
      </c>
      <c r="D92" s="3">
        <f t="shared" si="5"/>
        <v>1094.6669805621791</v>
      </c>
      <c r="E92" s="3">
        <f t="shared" si="6"/>
        <v>366.45943777617589</v>
      </c>
      <c r="F92" s="23">
        <f t="shared" si="7"/>
        <v>1.3216094885137863E-12</v>
      </c>
      <c r="G92" s="1"/>
      <c r="H92" s="1"/>
      <c r="I92" s="1"/>
      <c r="J92" s="1"/>
      <c r="K92" s="1"/>
      <c r="L92" s="1"/>
      <c r="M92" s="1"/>
      <c r="N92" s="1"/>
      <c r="O92" s="1"/>
    </row>
    <row r="93" spans="1:15" ht="19.5" x14ac:dyDescent="0.25">
      <c r="A93" s="4">
        <v>0.88</v>
      </c>
      <c r="B93" s="2">
        <f t="shared" si="4"/>
        <v>0.95639193520711818</v>
      </c>
      <c r="C93" s="22">
        <v>46.987866688514039</v>
      </c>
      <c r="D93" s="3">
        <f t="shared" si="5"/>
        <v>1086.8090172808161</v>
      </c>
      <c r="E93" s="3">
        <f t="shared" si="6"/>
        <v>363.40053994067699</v>
      </c>
      <c r="F93" s="23">
        <f t="shared" si="7"/>
        <v>5.6843418860808015E-13</v>
      </c>
      <c r="G93" s="1"/>
      <c r="H93" s="1"/>
      <c r="I93" s="1"/>
      <c r="J93" s="1"/>
      <c r="K93" s="1"/>
      <c r="L93" s="1"/>
      <c r="M93" s="1"/>
      <c r="N93" s="1"/>
      <c r="O93" s="1"/>
    </row>
    <row r="94" spans="1:15" ht="19.5" x14ac:dyDescent="0.25">
      <c r="A94" s="4">
        <v>0.89</v>
      </c>
      <c r="B94" s="2">
        <f t="shared" si="4"/>
        <v>0.96035765423243846</v>
      </c>
      <c r="C94" s="22">
        <v>46.760593173063285</v>
      </c>
      <c r="D94" s="3">
        <f t="shared" si="5"/>
        <v>1079.0535440813915</v>
      </c>
      <c r="E94" s="3">
        <f t="shared" si="6"/>
        <v>360.38496152327662</v>
      </c>
      <c r="F94" s="23">
        <f t="shared" si="7"/>
        <v>1.1297629498585593E-12</v>
      </c>
      <c r="G94" s="1"/>
      <c r="H94" s="1"/>
      <c r="I94" s="1"/>
      <c r="J94" s="1"/>
      <c r="K94" s="1"/>
      <c r="L94" s="1"/>
      <c r="M94" s="1"/>
      <c r="N94" s="1"/>
      <c r="O94" s="1"/>
    </row>
    <row r="95" spans="1:15" ht="19.5" x14ac:dyDescent="0.25">
      <c r="A95" s="4">
        <v>0.9</v>
      </c>
      <c r="B95" s="2">
        <f t="shared" si="4"/>
        <v>0.96425881403971225</v>
      </c>
      <c r="C95" s="22">
        <v>46.535027870083859</v>
      </c>
      <c r="D95" s="3">
        <f t="shared" si="5"/>
        <v>1071.3986822663469</v>
      </c>
      <c r="E95" s="3">
        <f t="shared" si="6"/>
        <v>357.41185960287834</v>
      </c>
      <c r="F95" s="23">
        <f t="shared" si="7"/>
        <v>0</v>
      </c>
      <c r="G95" s="1"/>
      <c r="H95" s="1"/>
      <c r="I95" s="1"/>
      <c r="J95" s="1"/>
      <c r="K95" s="1"/>
      <c r="L95" s="1"/>
      <c r="M95" s="1"/>
      <c r="N95" s="1"/>
      <c r="O95" s="1"/>
    </row>
    <row r="96" spans="1:15" ht="19.5" x14ac:dyDescent="0.25">
      <c r="A96" s="4">
        <v>0.91</v>
      </c>
      <c r="B96" s="2">
        <f t="shared" si="4"/>
        <v>0.96809676294128955</v>
      </c>
      <c r="C96" s="22">
        <v>46.311149209305469</v>
      </c>
      <c r="D96" s="3">
        <f t="shared" si="5"/>
        <v>1063.8425966387797</v>
      </c>
      <c r="E96" s="3">
        <f t="shared" si="6"/>
        <v>354.48041176345993</v>
      </c>
      <c r="F96" s="23">
        <f t="shared" si="7"/>
        <v>-8.9528384705772623E-13</v>
      </c>
      <c r="G96" s="1"/>
      <c r="H96" s="1"/>
      <c r="I96" s="1"/>
      <c r="J96" s="1"/>
      <c r="K96" s="1"/>
      <c r="L96" s="1"/>
      <c r="M96" s="1"/>
      <c r="N96" s="1"/>
      <c r="O96" s="1"/>
    </row>
    <row r="97" spans="1:15" ht="19.5" x14ac:dyDescent="0.25">
      <c r="A97" s="4">
        <v>0.92</v>
      </c>
      <c r="B97" s="2">
        <f t="shared" si="4"/>
        <v>0.97187281475971343</v>
      </c>
      <c r="C97" s="22">
        <v>46.0889359866378</v>
      </c>
      <c r="D97" s="3">
        <f t="shared" si="5"/>
        <v>1056.3834943040363</v>
      </c>
      <c r="E97" s="3">
        <f t="shared" si="6"/>
        <v>351.58981550357601</v>
      </c>
      <c r="F97" s="23">
        <f t="shared" si="7"/>
        <v>5.5422333389287814E-13</v>
      </c>
      <c r="G97" s="1"/>
      <c r="H97" s="1"/>
      <c r="I97" s="1"/>
      <c r="J97" s="1"/>
      <c r="K97" s="1"/>
      <c r="L97" s="1"/>
      <c r="M97" s="1"/>
      <c r="N97" s="1"/>
      <c r="O97" s="1"/>
    </row>
    <row r="98" spans="1:15" ht="19.5" x14ac:dyDescent="0.25">
      <c r="A98" s="4">
        <v>0.93</v>
      </c>
      <c r="B98" s="2">
        <f t="shared" si="4"/>
        <v>0.97558824986343273</v>
      </c>
      <c r="C98" s="22">
        <v>45.868367356644335</v>
      </c>
      <c r="D98" s="3">
        <f t="shared" si="5"/>
        <v>1049.0196235090673</v>
      </c>
      <c r="E98" s="3">
        <f t="shared" si="6"/>
        <v>348.73928766527854</v>
      </c>
      <c r="F98" s="23">
        <f t="shared" si="7"/>
        <v>-2.1600499167107046E-12</v>
      </c>
      <c r="G98" s="1"/>
      <c r="H98" s="1"/>
      <c r="I98" s="1"/>
      <c r="J98" s="1"/>
      <c r="K98" s="1"/>
      <c r="L98" s="1"/>
      <c r="M98" s="1"/>
      <c r="N98" s="1"/>
      <c r="O98" s="1"/>
    </row>
    <row r="99" spans="1:15" ht="19.5" x14ac:dyDescent="0.25">
      <c r="A99" s="4">
        <v>0.94</v>
      </c>
      <c r="B99" s="2">
        <f t="shared" si="4"/>
        <v>0.97924431616709451</v>
      </c>
      <c r="C99" s="22">
        <v>45.649422825189298</v>
      </c>
      <c r="D99" s="3">
        <f t="shared" si="5"/>
        <v>1041.7492725181858</v>
      </c>
      <c r="E99" s="3">
        <f t="shared" si="6"/>
        <v>345.92806388171914</v>
      </c>
      <c r="F99" s="23">
        <f t="shared" si="7"/>
        <v>2.2808421817899216E-12</v>
      </c>
      <c r="G99" s="1"/>
      <c r="H99" s="1"/>
      <c r="I99" s="1"/>
      <c r="J99" s="1"/>
      <c r="K99" s="1"/>
      <c r="L99" s="1"/>
      <c r="M99" s="1"/>
      <c r="N99" s="1"/>
      <c r="O99" s="1"/>
    </row>
    <row r="100" spans="1:15" ht="19.5" x14ac:dyDescent="0.25">
      <c r="A100" s="4">
        <v>0.95</v>
      </c>
      <c r="B100" s="2">
        <f t="shared" si="4"/>
        <v>0.98284223009786031</v>
      </c>
      <c r="C100" s="22">
        <v>45.432082242256499</v>
      </c>
      <c r="D100" s="3">
        <f t="shared" si="5"/>
        <v>1034.5707685240636</v>
      </c>
      <c r="E100" s="3">
        <f t="shared" si="6"/>
        <v>343.15539804280223</v>
      </c>
      <c r="F100" s="23">
        <f t="shared" si="7"/>
        <v>-4.7961634663806763E-13</v>
      </c>
      <c r="G100" s="1"/>
      <c r="H100" s="1"/>
      <c r="I100" s="1"/>
      <c r="J100" s="1"/>
      <c r="K100" s="1"/>
      <c r="L100" s="1"/>
      <c r="M100" s="1"/>
      <c r="N100" s="1"/>
      <c r="O100" s="1"/>
    </row>
    <row r="101" spans="1:15" ht="19.5" x14ac:dyDescent="0.25">
      <c r="A101" s="4">
        <v>0.96</v>
      </c>
      <c r="B101" s="2">
        <f t="shared" si="4"/>
        <v>0.98638317752887505</v>
      </c>
      <c r="C101" s="22">
        <v>45.216325794932153</v>
      </c>
      <c r="D101" s="3">
        <f t="shared" si="5"/>
        <v>1027.4824765925782</v>
      </c>
      <c r="E101" s="3">
        <f t="shared" si="6"/>
        <v>340.42056177817813</v>
      </c>
      <c r="F101" s="23">
        <f t="shared" si="7"/>
        <v>-2.2168933355715126E-12</v>
      </c>
      <c r="G101" s="1"/>
      <c r="H101" s="1"/>
      <c r="I101" s="1"/>
      <c r="J101" s="1"/>
      <c r="K101" s="1"/>
      <c r="L101" s="1"/>
      <c r="M101" s="1"/>
      <c r="N101" s="1"/>
      <c r="O101" s="1"/>
    </row>
    <row r="102" spans="1:15" ht="19.5" x14ac:dyDescent="0.25">
      <c r="A102" s="4">
        <v>0.97</v>
      </c>
      <c r="B102" s="2">
        <f t="shared" si="4"/>
        <v>0.98986831468128966</v>
      </c>
      <c r="C102" s="22">
        <v>45.002134000551131</v>
      </c>
      <c r="D102" s="3">
        <f t="shared" si="5"/>
        <v>1020.4827986405048</v>
      </c>
      <c r="E102" s="3">
        <f t="shared" si="6"/>
        <v>337.72284395699245</v>
      </c>
      <c r="F102" s="23">
        <f t="shared" si="7"/>
        <v>5.2757798130187439E-13</v>
      </c>
      <c r="G102" s="1"/>
      <c r="H102" s="1"/>
      <c r="I102" s="1"/>
      <c r="J102" s="1"/>
      <c r="K102" s="1"/>
      <c r="L102" s="1"/>
      <c r="M102" s="1"/>
      <c r="N102" s="1"/>
      <c r="O102" s="1"/>
    </row>
    <row r="103" spans="1:15" ht="19.5" x14ac:dyDescent="0.25">
      <c r="A103" s="4">
        <v>0.98</v>
      </c>
      <c r="B103" s="2">
        <f t="shared" si="4"/>
        <v>0.99329876899592406</v>
      </c>
      <c r="C103" s="22">
        <v>44.789487700000684</v>
      </c>
      <c r="D103" s="3">
        <f t="shared" si="5"/>
        <v>1013.5701724448205</v>
      </c>
      <c r="E103" s="3">
        <f t="shared" si="6"/>
        <v>335.06155020376713</v>
      </c>
      <c r="F103" s="23">
        <f t="shared" si="7"/>
        <v>5.5866422599137877E-13</v>
      </c>
      <c r="G103" s="1"/>
      <c r="H103" s="1"/>
      <c r="I103" s="1"/>
      <c r="J103" s="1"/>
      <c r="K103" s="1"/>
      <c r="L103" s="1"/>
      <c r="M103" s="1"/>
      <c r="N103" s="1"/>
      <c r="O103" s="1"/>
    </row>
    <row r="104" spans="1:15" ht="19.5" x14ac:dyDescent="0.25">
      <c r="A104" s="4">
        <v>0.99</v>
      </c>
      <c r="B104" s="2">
        <f t="shared" si="4"/>
        <v>0.99667563997570185</v>
      </c>
      <c r="C104" s="22">
        <v>44.57836805117801</v>
      </c>
      <c r="D104" s="3">
        <f t="shared" si="5"/>
        <v>1006.7430706825271</v>
      </c>
      <c r="E104" s="3">
        <f t="shared" si="6"/>
        <v>332.43600242983342</v>
      </c>
      <c r="F104" s="23">
        <f t="shared" si="7"/>
        <v>-2.0694557179012918E-13</v>
      </c>
      <c r="G104" s="1"/>
      <c r="H104" s="1"/>
      <c r="I104" s="1"/>
      <c r="J104" s="1"/>
      <c r="K104" s="1"/>
      <c r="L104" s="1"/>
      <c r="M104" s="1"/>
      <c r="N104" s="1"/>
      <c r="O104" s="1"/>
    </row>
    <row r="105" spans="1:15" ht="19.5" x14ac:dyDescent="0.25">
      <c r="A105" s="4">
        <v>1</v>
      </c>
      <c r="B105" s="2">
        <f t="shared" si="4"/>
        <v>0.99999999999999978</v>
      </c>
      <c r="C105" s="22">
        <v>44.368756522598524</v>
      </c>
      <c r="D105" s="3">
        <f t="shared" si="5"/>
        <v>999.99999999999977</v>
      </c>
      <c r="E105" s="3">
        <f t="shared" si="6"/>
        <v>329.84553837977455</v>
      </c>
      <c r="F105" s="23">
        <f t="shared" si="7"/>
        <v>2.2737367544323206E-13</v>
      </c>
      <c r="G105" s="1"/>
      <c r="H105" s="1"/>
      <c r="I105" s="1"/>
      <c r="J105" s="1"/>
      <c r="K105" s="1"/>
      <c r="L105" s="1"/>
      <c r="M105" s="1"/>
      <c r="N105" s="1"/>
      <c r="O105" s="1"/>
    </row>
    <row r="106" spans="1:15" ht="19.5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ht="19.5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 ht="19.5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ht="19.5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ht="19.5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ht="19.5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 ht="19.5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 ht="19.5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 ht="19.5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5" ht="19.5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 ht="19.5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 ht="19.5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ht="19.5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ht="19.5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</sheetData>
  <phoneticPr fontId="1" type="noConversion"/>
  <pageMargins left="0.75" right="0.75" top="1" bottom="1" header="0.5" footer="0.5"/>
  <pageSetup scale="22" orientation="landscape" horizontalDpi="4294967292" verticalDpi="4294967292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"/>
  <sheetViews>
    <sheetView showGridLines="0" workbookViewId="0">
      <selection activeCell="Q15" sqref="Q15"/>
    </sheetView>
  </sheetViews>
  <sheetFormatPr defaultRowHeight="12.75" x14ac:dyDescent="0.2"/>
  <sheetData/>
  <pageMargins left="0.7" right="0.7" top="0.75" bottom="0.75" header="0.3" footer="0.3"/>
  <pageSetup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O53"/>
  <sheetViews>
    <sheetView tabSelected="1" topLeftCell="A22" zoomScale="80" zoomScaleNormal="80" workbookViewId="0">
      <selection activeCell="C12" sqref="C12"/>
    </sheetView>
  </sheetViews>
  <sheetFormatPr defaultRowHeight="12.75" x14ac:dyDescent="0.2"/>
  <cols>
    <col min="1" max="29" width="16.625" customWidth="1"/>
  </cols>
  <sheetData>
    <row r="1" spans="1:15" ht="26.25" x14ac:dyDescent="0.4">
      <c r="A1" s="27" t="s">
        <v>150</v>
      </c>
      <c r="B1" s="12"/>
      <c r="C1" s="12"/>
      <c r="D1" s="14"/>
      <c r="E1" s="13"/>
      <c r="F1" s="12"/>
      <c r="J1" s="12"/>
      <c r="K1" s="12"/>
      <c r="L1" s="12"/>
      <c r="M1" s="12"/>
      <c r="N1" s="12"/>
    </row>
    <row r="2" spans="1:15" ht="24" thickBot="1" x14ac:dyDescent="0.4">
      <c r="A2" s="33"/>
      <c r="B2" s="33"/>
      <c r="C2" s="33"/>
      <c r="D2" s="84"/>
      <c r="E2" s="194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ht="22.5" thickTop="1" thickBot="1" x14ac:dyDescent="0.4">
      <c r="A3" s="31" t="s">
        <v>151</v>
      </c>
      <c r="B3" s="32">
        <v>2</v>
      </c>
      <c r="C3" s="33"/>
      <c r="D3" s="34" t="s">
        <v>37</v>
      </c>
      <c r="E3" s="35"/>
      <c r="F3" s="36"/>
      <c r="G3" s="33"/>
      <c r="H3" s="33"/>
      <c r="I3" s="33"/>
      <c r="J3" s="33"/>
      <c r="K3" s="33"/>
      <c r="L3" s="33"/>
      <c r="M3" s="33"/>
      <c r="N3" s="33"/>
      <c r="O3" s="33"/>
    </row>
    <row r="4" spans="1:15" ht="22.5" thickTop="1" thickBot="1" x14ac:dyDescent="0.4">
      <c r="A4" s="38" t="s">
        <v>152</v>
      </c>
      <c r="B4" s="39">
        <v>1000</v>
      </c>
      <c r="C4" s="33"/>
      <c r="D4" s="40" t="s">
        <v>38</v>
      </c>
      <c r="E4" s="41"/>
      <c r="F4" s="42"/>
      <c r="G4" s="33"/>
      <c r="H4" s="33"/>
      <c r="I4" s="33"/>
      <c r="J4" s="33"/>
      <c r="K4" s="33"/>
      <c r="L4" s="33"/>
      <c r="M4" s="33"/>
      <c r="N4" s="33"/>
      <c r="O4" s="33"/>
    </row>
    <row r="5" spans="1:15" ht="22.5" thickTop="1" thickBot="1" x14ac:dyDescent="0.4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</row>
    <row r="6" spans="1:15" ht="26.25" thickTop="1" thickBot="1" x14ac:dyDescent="0.5">
      <c r="A6" s="45" t="s">
        <v>1</v>
      </c>
      <c r="B6" s="46" t="s">
        <v>39</v>
      </c>
      <c r="C6" s="46" t="s">
        <v>40</v>
      </c>
      <c r="D6" s="46" t="s">
        <v>41</v>
      </c>
      <c r="E6" s="46" t="s">
        <v>42</v>
      </c>
      <c r="F6" s="46" t="s">
        <v>90</v>
      </c>
      <c r="G6" s="46" t="s">
        <v>43</v>
      </c>
      <c r="H6" s="46" t="s">
        <v>44</v>
      </c>
      <c r="I6" s="46" t="s">
        <v>45</v>
      </c>
      <c r="J6" s="46" t="s">
        <v>46</v>
      </c>
      <c r="K6" s="46" t="s">
        <v>91</v>
      </c>
      <c r="L6" s="46" t="s">
        <v>92</v>
      </c>
      <c r="M6" s="46" t="s">
        <v>93</v>
      </c>
      <c r="N6" s="47" t="s">
        <v>32</v>
      </c>
      <c r="O6" s="33"/>
    </row>
    <row r="7" spans="1:15" ht="22.5" thickTop="1" thickBot="1" x14ac:dyDescent="0.4">
      <c r="A7" s="48" t="s">
        <v>153</v>
      </c>
      <c r="B7" s="49"/>
      <c r="C7" s="49"/>
      <c r="D7" s="49"/>
      <c r="E7" s="50">
        <v>50</v>
      </c>
      <c r="F7" s="51">
        <v>0.89508581500157791</v>
      </c>
      <c r="G7" s="195">
        <f>+E7*B3</f>
        <v>100</v>
      </c>
      <c r="H7" s="53">
        <f>+F7</f>
        <v>0.89508581500157791</v>
      </c>
      <c r="I7" s="49"/>
      <c r="J7" s="49"/>
      <c r="K7" s="54">
        <v>46.645662588398373</v>
      </c>
      <c r="L7" s="53">
        <f t="shared" ref="L7:L18" si="0">10^($B$24-$C$24/($D$24+K7))/$B$4</f>
        <v>1.0751479616655384</v>
      </c>
      <c r="M7" s="53">
        <f t="shared" ref="M7:M18" si="1">10^($B$25-$C$25/($D$25+K7))/$B$4</f>
        <v>0.35886763913313086</v>
      </c>
      <c r="N7" s="196">
        <f>+H7*L7+(1-H7)*M7</f>
        <v>0.99999999539664397</v>
      </c>
      <c r="O7" s="33"/>
    </row>
    <row r="8" spans="1:15" ht="21.75" thickTop="1" x14ac:dyDescent="0.35">
      <c r="A8" s="48">
        <v>1</v>
      </c>
      <c r="B8" s="60"/>
      <c r="C8" s="61"/>
      <c r="D8" s="62">
        <f>+B8*C8</f>
        <v>0</v>
      </c>
      <c r="E8" s="49"/>
      <c r="F8" s="49"/>
      <c r="G8" s="195">
        <f>+I9+G7+B8-I8</f>
        <v>100</v>
      </c>
      <c r="H8" s="53">
        <f t="shared" ref="H8:H18" si="2">+J8/L8</f>
        <v>0.74363477427408975</v>
      </c>
      <c r="I8" s="195">
        <f>+E7+G7</f>
        <v>150</v>
      </c>
      <c r="J8" s="53">
        <f>+F7</f>
        <v>0.89508581500157791</v>
      </c>
      <c r="K8" s="63">
        <v>50.269633476778345</v>
      </c>
      <c r="L8" s="53">
        <f t="shared" si="0"/>
        <v>1.2036632039906006</v>
      </c>
      <c r="M8" s="53">
        <f t="shared" si="1"/>
        <v>0.40923723302124065</v>
      </c>
      <c r="N8" s="196">
        <f t="shared" ref="N8:N18" si="3">+J8/L8+(1-J8)/M8</f>
        <v>0.99999997404802321</v>
      </c>
      <c r="O8" s="33"/>
    </row>
    <row r="9" spans="1:15" ht="21" x14ac:dyDescent="0.35">
      <c r="A9" s="48">
        <v>2</v>
      </c>
      <c r="B9" s="65"/>
      <c r="C9" s="66"/>
      <c r="D9" s="67">
        <f t="shared" ref="D9:D17" si="4">+B9*C9</f>
        <v>0</v>
      </c>
      <c r="E9" s="49"/>
      <c r="F9" s="49"/>
      <c r="G9" s="195">
        <f t="shared" ref="G9:G18" si="5">+I10+G8+B9-I9</f>
        <v>100</v>
      </c>
      <c r="H9" s="53">
        <f t="shared" si="2"/>
        <v>0.57297588618434137</v>
      </c>
      <c r="I9" s="195">
        <f>+I8</f>
        <v>150</v>
      </c>
      <c r="J9" s="53">
        <f t="shared" ref="J9:J18" si="6">+(I8*J8+G8*H8-B8*C8-G7*H7)/I9</f>
        <v>0.7941184545165858</v>
      </c>
      <c r="K9" s="63">
        <v>54.930551788175357</v>
      </c>
      <c r="L9" s="53">
        <f t="shared" si="0"/>
        <v>1.3859544069208822</v>
      </c>
      <c r="M9" s="53">
        <f t="shared" si="1"/>
        <v>0.48213107473698075</v>
      </c>
      <c r="N9" s="196">
        <f t="shared" si="3"/>
        <v>0.99999989743632245</v>
      </c>
      <c r="O9" s="33"/>
    </row>
    <row r="10" spans="1:15" ht="21" x14ac:dyDescent="0.35">
      <c r="A10" s="48">
        <v>3</v>
      </c>
      <c r="B10" s="65"/>
      <c r="C10" s="66"/>
      <c r="D10" s="67">
        <f t="shared" si="4"/>
        <v>0</v>
      </c>
      <c r="E10" s="49"/>
      <c r="F10" s="49"/>
      <c r="G10" s="195">
        <f t="shared" si="5"/>
        <v>100</v>
      </c>
      <c r="H10" s="53">
        <f t="shared" si="2"/>
        <v>0.43060012696369043</v>
      </c>
      <c r="I10" s="195">
        <f t="shared" ref="I10:I18" si="7">+I9</f>
        <v>150</v>
      </c>
      <c r="J10" s="53">
        <f t="shared" si="6"/>
        <v>0.68034586245675355</v>
      </c>
      <c r="K10" s="63">
        <v>59.401723831952488</v>
      </c>
      <c r="L10" s="53">
        <f t="shared" si="0"/>
        <v>1.579994570029754</v>
      </c>
      <c r="M10" s="53">
        <f t="shared" si="1"/>
        <v>0.56138796058269458</v>
      </c>
      <c r="N10" s="196">
        <f t="shared" si="3"/>
        <v>0.9999998291081047</v>
      </c>
      <c r="O10" s="33"/>
    </row>
    <row r="11" spans="1:15" ht="21" x14ac:dyDescent="0.35">
      <c r="A11" s="48">
        <v>4</v>
      </c>
      <c r="B11" s="65">
        <v>100</v>
      </c>
      <c r="C11" s="66">
        <v>0.45</v>
      </c>
      <c r="D11" s="67">
        <f t="shared" si="4"/>
        <v>45</v>
      </c>
      <c r="E11" s="49"/>
      <c r="F11" s="49"/>
      <c r="G11" s="195">
        <f t="shared" si="5"/>
        <v>200</v>
      </c>
      <c r="H11" s="53">
        <f t="shared" si="2"/>
        <v>0.33745966370757063</v>
      </c>
      <c r="I11" s="195">
        <f t="shared" si="7"/>
        <v>150</v>
      </c>
      <c r="J11" s="53">
        <f t="shared" si="6"/>
        <v>0.58542868964298611</v>
      </c>
      <c r="K11" s="63">
        <v>62.677664852879751</v>
      </c>
      <c r="L11" s="53">
        <f t="shared" si="0"/>
        <v>1.734810860684955</v>
      </c>
      <c r="M11" s="53">
        <f t="shared" si="1"/>
        <v>0.62573005458333453</v>
      </c>
      <c r="N11" s="196">
        <f t="shared" si="3"/>
        <v>0.99999985547296621</v>
      </c>
      <c r="O11" s="33"/>
    </row>
    <row r="12" spans="1:15" ht="21" x14ac:dyDescent="0.35">
      <c r="A12" s="48">
        <v>5</v>
      </c>
      <c r="B12" s="65"/>
      <c r="C12" s="66"/>
      <c r="D12" s="67">
        <f>+B12*C12</f>
        <v>0</v>
      </c>
      <c r="E12" s="49"/>
      <c r="F12" s="49"/>
      <c r="G12" s="195">
        <f t="shared" si="5"/>
        <v>200</v>
      </c>
      <c r="H12" s="53">
        <f t="shared" si="2"/>
        <v>0.22995590715445277</v>
      </c>
      <c r="I12" s="195">
        <f t="shared" si="7"/>
        <v>150</v>
      </c>
      <c r="J12" s="53">
        <f t="shared" si="6"/>
        <v>0.44830815661062001</v>
      </c>
      <c r="K12" s="63">
        <v>66.872296406407884</v>
      </c>
      <c r="L12" s="53">
        <f t="shared" si="0"/>
        <v>1.9495396406995025</v>
      </c>
      <c r="M12" s="53">
        <f t="shared" si="1"/>
        <v>0.71644203027632603</v>
      </c>
      <c r="N12" s="196">
        <f t="shared" si="3"/>
        <v>0.9999998466153982</v>
      </c>
      <c r="O12" s="33"/>
    </row>
    <row r="13" spans="1:15" ht="21" x14ac:dyDescent="0.35">
      <c r="A13" s="48">
        <v>6</v>
      </c>
      <c r="B13" s="65"/>
      <c r="C13" s="66"/>
      <c r="D13" s="67">
        <f t="shared" si="4"/>
        <v>0</v>
      </c>
      <c r="E13" s="49"/>
      <c r="F13" s="49"/>
      <c r="G13" s="195">
        <f t="shared" si="5"/>
        <v>200</v>
      </c>
      <c r="H13" s="53">
        <f t="shared" si="2"/>
        <v>0.14086892110691435</v>
      </c>
      <c r="I13" s="195">
        <f t="shared" si="7"/>
        <v>150</v>
      </c>
      <c r="J13" s="53">
        <f>+(I12*J12+G12*H12-B12*C12-G11*H11)/I13</f>
        <v>0.30496981453979627</v>
      </c>
      <c r="K13" s="63">
        <v>70.742239527116666</v>
      </c>
      <c r="L13" s="53">
        <f t="shared" si="0"/>
        <v>2.1649190761412545</v>
      </c>
      <c r="M13" s="53">
        <f t="shared" si="1"/>
        <v>0.80899211157878737</v>
      </c>
      <c r="N13" s="196">
        <f t="shared" si="3"/>
        <v>0.99999990089337798</v>
      </c>
      <c r="O13" s="33"/>
    </row>
    <row r="14" spans="1:15" ht="21" x14ac:dyDescent="0.35">
      <c r="A14" s="48">
        <v>7</v>
      </c>
      <c r="B14" s="65"/>
      <c r="C14" s="66"/>
      <c r="D14" s="67">
        <f t="shared" si="4"/>
        <v>0</v>
      </c>
      <c r="E14" s="49"/>
      <c r="F14" s="49"/>
      <c r="G14" s="195">
        <f t="shared" si="5"/>
        <v>200</v>
      </c>
      <c r="H14" s="53">
        <f t="shared" si="2"/>
        <v>7.9648027144424621E-2</v>
      </c>
      <c r="I14" s="195">
        <f t="shared" si="7"/>
        <v>150</v>
      </c>
      <c r="J14" s="53">
        <f t="shared" si="6"/>
        <v>0.18618716647641173</v>
      </c>
      <c r="K14" s="63">
        <v>73.641034314126173</v>
      </c>
      <c r="L14" s="53">
        <f t="shared" si="0"/>
        <v>2.3376243348601871</v>
      </c>
      <c r="M14" s="53">
        <f t="shared" si="1"/>
        <v>0.88424088759744146</v>
      </c>
      <c r="N14" s="196">
        <f t="shared" si="3"/>
        <v>0.99999998659156997</v>
      </c>
      <c r="O14" s="33"/>
    </row>
    <row r="15" spans="1:15" ht="21" x14ac:dyDescent="0.35">
      <c r="A15" s="48">
        <v>8</v>
      </c>
      <c r="B15" s="65"/>
      <c r="C15" s="66"/>
      <c r="D15" s="67">
        <f>+B15*C15</f>
        <v>0</v>
      </c>
      <c r="E15" s="49"/>
      <c r="F15" s="49"/>
      <c r="G15" s="195">
        <f t="shared" si="5"/>
        <v>200</v>
      </c>
      <c r="H15" s="53">
        <f t="shared" si="2"/>
        <v>4.2613058220877444E-2</v>
      </c>
      <c r="I15" s="195">
        <f t="shared" si="7"/>
        <v>150</v>
      </c>
      <c r="J15" s="53">
        <f t="shared" si="6"/>
        <v>0.10455930785975878</v>
      </c>
      <c r="K15" s="63">
        <v>75.500034262763549</v>
      </c>
      <c r="L15" s="53">
        <f t="shared" si="0"/>
        <v>2.4536917138824825</v>
      </c>
      <c r="M15" s="53">
        <f t="shared" si="1"/>
        <v>0.9352964987797312</v>
      </c>
      <c r="N15" s="196">
        <f t="shared" si="3"/>
        <v>1.0000000401121929</v>
      </c>
      <c r="O15" s="33"/>
    </row>
    <row r="16" spans="1:15" ht="21" x14ac:dyDescent="0.35">
      <c r="A16" s="48">
        <v>9</v>
      </c>
      <c r="B16" s="65"/>
      <c r="C16" s="66"/>
      <c r="D16" s="67">
        <f t="shared" si="4"/>
        <v>0</v>
      </c>
      <c r="E16" s="49"/>
      <c r="F16" s="49"/>
      <c r="G16" s="195">
        <f t="shared" si="5"/>
        <v>200</v>
      </c>
      <c r="H16" s="53">
        <f t="shared" si="2"/>
        <v>2.1870816417315933E-2</v>
      </c>
      <c r="I16" s="195">
        <f t="shared" si="7"/>
        <v>150</v>
      </c>
      <c r="J16" s="53">
        <f>+(I15*J15+G15*H15-B15*C15-G14*H14)/I16</f>
        <v>5.5179349295029198E-2</v>
      </c>
      <c r="K16" s="63">
        <v>76.578404757997347</v>
      </c>
      <c r="L16" s="53">
        <f t="shared" si="0"/>
        <v>2.5229670553743788</v>
      </c>
      <c r="M16" s="53">
        <f t="shared" si="1"/>
        <v>0.96594664310002232</v>
      </c>
      <c r="N16" s="196">
        <f t="shared" si="3"/>
        <v>1.0000000510433076</v>
      </c>
      <c r="O16" s="33"/>
    </row>
    <row r="17" spans="1:15" ht="21.75" thickBot="1" x14ac:dyDescent="0.4">
      <c r="A17" s="48">
        <v>10</v>
      </c>
      <c r="B17" s="68"/>
      <c r="C17" s="69"/>
      <c r="D17" s="70">
        <f t="shared" si="4"/>
        <v>0</v>
      </c>
      <c r="E17" s="49"/>
      <c r="F17" s="49"/>
      <c r="G17" s="195">
        <f t="shared" si="5"/>
        <v>200</v>
      </c>
      <c r="H17" s="53">
        <f t="shared" si="2"/>
        <v>1.0744993311441237E-2</v>
      </c>
      <c r="I17" s="195">
        <f t="shared" si="7"/>
        <v>150</v>
      </c>
      <c r="J17" s="53">
        <f t="shared" si="6"/>
        <v>2.7523026890280515E-2</v>
      </c>
      <c r="K17" s="63">
        <v>77.168283421301282</v>
      </c>
      <c r="L17" s="53">
        <f t="shared" si="0"/>
        <v>2.5614745484275061</v>
      </c>
      <c r="M17" s="53">
        <f t="shared" si="1"/>
        <v>0.98303968770124295</v>
      </c>
      <c r="N17" s="196">
        <f t="shared" si="3"/>
        <v>1.000000040972616</v>
      </c>
      <c r="O17" s="33"/>
    </row>
    <row r="18" spans="1:15" ht="22.5" thickTop="1" thickBot="1" x14ac:dyDescent="0.4">
      <c r="A18" s="48" t="s">
        <v>154</v>
      </c>
      <c r="B18" s="49"/>
      <c r="C18" s="49"/>
      <c r="D18" s="49"/>
      <c r="E18" s="49"/>
      <c r="F18" s="49"/>
      <c r="G18" s="195">
        <f t="shared" si="5"/>
        <v>50</v>
      </c>
      <c r="H18" s="53">
        <f t="shared" si="2"/>
        <v>4.9141637728952635E-3</v>
      </c>
      <c r="I18" s="195">
        <f t="shared" si="7"/>
        <v>150</v>
      </c>
      <c r="J18" s="53">
        <f t="shared" si="6"/>
        <v>1.268859608244759E-2</v>
      </c>
      <c r="K18" s="71">
        <v>77.480693862186328</v>
      </c>
      <c r="L18" s="53">
        <f t="shared" si="0"/>
        <v>2.5820458309577026</v>
      </c>
      <c r="M18" s="53">
        <f t="shared" si="1"/>
        <v>0.99218714729939139</v>
      </c>
      <c r="N18" s="196">
        <f t="shared" si="3"/>
        <v>1.0000000269640179</v>
      </c>
      <c r="O18" s="33"/>
    </row>
    <row r="19" spans="1:15" ht="24.75" thickTop="1" x14ac:dyDescent="0.45">
      <c r="A19" s="48"/>
      <c r="B19" s="49"/>
      <c r="C19" s="49"/>
      <c r="D19" s="49"/>
      <c r="E19" s="49"/>
      <c r="F19" s="49"/>
      <c r="G19" s="72" t="s">
        <v>101</v>
      </c>
      <c r="H19" s="53">
        <f>+(SUM(D7:D17)-E7*F7)/G18</f>
        <v>4.9141849984221152E-3</v>
      </c>
      <c r="I19" s="73"/>
      <c r="J19" s="73"/>
      <c r="K19" s="49"/>
      <c r="L19" s="49"/>
      <c r="M19" s="49"/>
      <c r="N19" s="197"/>
      <c r="O19" s="33"/>
    </row>
    <row r="20" spans="1:15" ht="21.75" thickBot="1" x14ac:dyDescent="0.4">
      <c r="A20" s="76"/>
      <c r="B20" s="77"/>
      <c r="C20" s="77"/>
      <c r="D20" s="77"/>
      <c r="E20" s="77"/>
      <c r="F20" s="77"/>
      <c r="G20" s="78" t="s">
        <v>64</v>
      </c>
      <c r="H20" s="79">
        <f>+H18-H19</f>
        <v>-2.1225526851756382E-8</v>
      </c>
      <c r="I20" s="80"/>
      <c r="J20" s="80"/>
      <c r="K20" s="77"/>
      <c r="L20" s="77"/>
      <c r="M20" s="77"/>
      <c r="N20" s="198"/>
      <c r="O20" s="33"/>
    </row>
    <row r="21" spans="1:15" ht="22.5" thickTop="1" thickBot="1" x14ac:dyDescent="0.4">
      <c r="A21" s="83"/>
      <c r="B21" s="83"/>
      <c r="C21" s="83"/>
      <c r="D21" s="83"/>
      <c r="E21" s="83"/>
      <c r="F21" s="83"/>
      <c r="G21" s="84"/>
      <c r="H21" s="85"/>
      <c r="I21" s="86"/>
      <c r="J21" s="86"/>
      <c r="K21" s="83"/>
      <c r="L21" s="83"/>
      <c r="M21" s="83"/>
      <c r="N21" s="83"/>
      <c r="O21" s="33"/>
    </row>
    <row r="22" spans="1:15" ht="21.75" thickTop="1" x14ac:dyDescent="0.35">
      <c r="A22" s="87" t="s">
        <v>5</v>
      </c>
      <c r="B22" s="88"/>
      <c r="C22" s="88"/>
      <c r="D22" s="89"/>
      <c r="E22" s="33"/>
      <c r="F22" s="199" t="s">
        <v>155</v>
      </c>
      <c r="G22" s="88"/>
      <c r="H22" s="88"/>
      <c r="I22" s="88"/>
      <c r="J22" s="88"/>
      <c r="K22" s="88"/>
      <c r="L22" s="88"/>
      <c r="M22" s="88"/>
      <c r="N22" s="89"/>
      <c r="O22" s="33"/>
    </row>
    <row r="23" spans="1:15" ht="21" x14ac:dyDescent="0.35">
      <c r="A23" s="95"/>
      <c r="B23" s="96" t="s">
        <v>8</v>
      </c>
      <c r="C23" s="96" t="s">
        <v>9</v>
      </c>
      <c r="D23" s="97" t="s">
        <v>10</v>
      </c>
      <c r="E23" s="33"/>
      <c r="F23" s="95" t="s">
        <v>156</v>
      </c>
      <c r="G23" s="132"/>
      <c r="H23" s="132"/>
      <c r="I23" s="132"/>
      <c r="J23" s="132"/>
      <c r="K23" s="132"/>
      <c r="L23" s="132"/>
      <c r="M23" s="132"/>
      <c r="N23" s="200"/>
      <c r="O23" s="33"/>
    </row>
    <row r="24" spans="1:15" ht="24" x14ac:dyDescent="0.45">
      <c r="A24" s="95" t="s">
        <v>6</v>
      </c>
      <c r="B24" s="96">
        <v>6.8447100000000001</v>
      </c>
      <c r="C24" s="96">
        <v>1060.7929999999999</v>
      </c>
      <c r="D24" s="97">
        <v>231.541</v>
      </c>
      <c r="E24" s="92"/>
      <c r="F24" s="95" t="s">
        <v>161</v>
      </c>
      <c r="G24" s="132"/>
      <c r="H24" s="132"/>
      <c r="I24" s="132"/>
      <c r="J24" s="132"/>
      <c r="K24" s="96"/>
      <c r="L24" s="96"/>
      <c r="M24" s="132"/>
      <c r="N24" s="200"/>
      <c r="O24" s="33"/>
    </row>
    <row r="25" spans="1:15" ht="21.75" thickBot="1" x14ac:dyDescent="0.4">
      <c r="A25" s="110" t="s">
        <v>7</v>
      </c>
      <c r="B25" s="111">
        <v>6.8855500000000003</v>
      </c>
      <c r="C25" s="111">
        <v>1175.817</v>
      </c>
      <c r="D25" s="258">
        <v>224.86699999999999</v>
      </c>
      <c r="E25" s="92"/>
      <c r="F25" s="95" t="s">
        <v>157</v>
      </c>
      <c r="G25" s="132"/>
      <c r="H25" s="132"/>
      <c r="I25" s="132"/>
      <c r="J25" s="132"/>
      <c r="K25" s="132"/>
      <c r="L25" s="132"/>
      <c r="M25" s="132"/>
      <c r="N25" s="200"/>
      <c r="O25" s="33"/>
    </row>
    <row r="26" spans="1:15" ht="22.5" thickTop="1" thickBot="1" x14ac:dyDescent="0.4">
      <c r="A26" s="86"/>
      <c r="B26" s="83"/>
      <c r="C26" s="83"/>
      <c r="D26" s="83"/>
      <c r="E26" s="92"/>
      <c r="F26" s="201" t="s">
        <v>158</v>
      </c>
      <c r="G26" s="133"/>
      <c r="H26" s="133"/>
      <c r="I26" s="133"/>
      <c r="J26" s="133"/>
      <c r="K26" s="133"/>
      <c r="L26" s="133"/>
      <c r="M26" s="133"/>
      <c r="N26" s="134"/>
      <c r="O26" s="33"/>
    </row>
    <row r="27" spans="1:15" ht="22.5" thickTop="1" thickBot="1" x14ac:dyDescent="0.4">
      <c r="A27" s="33"/>
      <c r="B27" s="33"/>
      <c r="C27" s="33"/>
      <c r="D27" s="33"/>
      <c r="E27" s="33"/>
      <c r="F27" s="33"/>
      <c r="G27" s="33"/>
      <c r="H27" s="33"/>
      <c r="I27" s="33"/>
      <c r="J27" s="92"/>
      <c r="K27" s="33"/>
      <c r="L27" s="33"/>
      <c r="M27" s="33"/>
      <c r="N27" s="33"/>
      <c r="O27" s="33"/>
    </row>
    <row r="28" spans="1:15" ht="21.75" thickTop="1" x14ac:dyDescent="0.35">
      <c r="A28" s="87" t="s">
        <v>159</v>
      </c>
      <c r="B28" s="88"/>
      <c r="C28" s="121"/>
      <c r="D28" s="33"/>
      <c r="E28" s="260" t="s">
        <v>36</v>
      </c>
      <c r="F28" s="261"/>
      <c r="G28" s="33"/>
      <c r="H28" s="87" t="s">
        <v>2</v>
      </c>
      <c r="I28" s="88"/>
      <c r="J28" s="88"/>
      <c r="K28" s="88"/>
      <c r="L28" s="144"/>
      <c r="M28" s="145"/>
      <c r="N28" s="33"/>
      <c r="O28" s="33"/>
    </row>
    <row r="29" spans="1:15" ht="21" x14ac:dyDescent="0.35">
      <c r="A29" s="123" t="s">
        <v>160</v>
      </c>
      <c r="B29" s="96" t="s">
        <v>34</v>
      </c>
      <c r="C29" s="97" t="s">
        <v>33</v>
      </c>
      <c r="D29" s="93"/>
      <c r="E29" s="123" t="s">
        <v>3</v>
      </c>
      <c r="F29" s="97" t="s">
        <v>4</v>
      </c>
      <c r="G29" s="33"/>
      <c r="H29" s="123" t="s">
        <v>1</v>
      </c>
      <c r="I29" s="96" t="s">
        <v>19</v>
      </c>
      <c r="J29" s="96" t="s">
        <v>20</v>
      </c>
      <c r="K29" s="96" t="s">
        <v>12</v>
      </c>
      <c r="L29" s="96" t="s">
        <v>3</v>
      </c>
      <c r="M29" s="97" t="s">
        <v>4</v>
      </c>
      <c r="N29" s="33"/>
      <c r="O29" s="33"/>
    </row>
    <row r="30" spans="1:15" ht="21" x14ac:dyDescent="0.35">
      <c r="A30" s="123">
        <v>0</v>
      </c>
      <c r="B30" s="124">
        <f>+($B$3/($B$3+1))*A30+(1/(1+$B$3))*$F$7</f>
        <v>0.29836193833385927</v>
      </c>
      <c r="C30" s="125">
        <f>+($G$17/$I$18)*A30-($G$18/$I$18)*$H$18</f>
        <v>-1.6380545909650877E-3</v>
      </c>
      <c r="D30" s="152"/>
      <c r="E30" s="126">
        <f>+H7</f>
        <v>0.89508581500157791</v>
      </c>
      <c r="F30" s="125">
        <f>+J8</f>
        <v>0.89508581500157791</v>
      </c>
      <c r="G30" s="33"/>
      <c r="H30" s="127" t="s">
        <v>21</v>
      </c>
      <c r="I30" s="128">
        <f t="shared" ref="I30:I41" si="8">+G7</f>
        <v>100</v>
      </c>
      <c r="J30" s="128">
        <v>0</v>
      </c>
      <c r="K30" s="130">
        <f t="shared" ref="K30:K41" si="9">+K7</f>
        <v>46.645662588398373</v>
      </c>
      <c r="L30" s="203">
        <f>+H7</f>
        <v>0.89508581500157791</v>
      </c>
      <c r="M30" s="204">
        <f>+J7</f>
        <v>0</v>
      </c>
      <c r="N30" s="33"/>
      <c r="O30" s="33"/>
    </row>
    <row r="31" spans="1:15" ht="21" x14ac:dyDescent="0.35">
      <c r="A31" s="123">
        <v>0.1</v>
      </c>
      <c r="B31" s="124">
        <f t="shared" ref="B31:B40" si="10">+($B$3/($B$3+1))*A31+(1/(1+$B$3))*$F$7</f>
        <v>0.36502860500052592</v>
      </c>
      <c r="C31" s="125">
        <f t="shared" ref="C31:C40" si="11">+($G$17/$I$18)*A31-($G$18/$I$18)*$H$18</f>
        <v>0.13169527874236825</v>
      </c>
      <c r="D31" s="33"/>
      <c r="E31" s="126">
        <f>+H8</f>
        <v>0.74363477427408975</v>
      </c>
      <c r="F31" s="125">
        <f>+J8</f>
        <v>0.89508581500157791</v>
      </c>
      <c r="G31" s="33"/>
      <c r="H31" s="127" t="s">
        <v>22</v>
      </c>
      <c r="I31" s="128">
        <f t="shared" si="8"/>
        <v>100</v>
      </c>
      <c r="J31" s="128">
        <f t="shared" ref="J31:J41" si="12">+I8</f>
        <v>150</v>
      </c>
      <c r="K31" s="130">
        <f t="shared" si="9"/>
        <v>50.269633476778345</v>
      </c>
      <c r="L31" s="203">
        <f t="shared" ref="L31:L41" si="13">+H8</f>
        <v>0.74363477427408975</v>
      </c>
      <c r="M31" s="204">
        <f t="shared" ref="M31:M41" si="14">+J8</f>
        <v>0.89508581500157791</v>
      </c>
      <c r="N31" s="33"/>
      <c r="O31" s="33"/>
    </row>
    <row r="32" spans="1:15" ht="21" x14ac:dyDescent="0.35">
      <c r="A32" s="123">
        <v>0.2</v>
      </c>
      <c r="B32" s="124">
        <f t="shared" si="10"/>
        <v>0.43169527166719257</v>
      </c>
      <c r="C32" s="125">
        <f t="shared" si="11"/>
        <v>0.26502861207570155</v>
      </c>
      <c r="D32" s="33"/>
      <c r="E32" s="126">
        <f>+H8</f>
        <v>0.74363477427408975</v>
      </c>
      <c r="F32" s="125">
        <f>+J9</f>
        <v>0.7941184545165858</v>
      </c>
      <c r="G32" s="33"/>
      <c r="H32" s="127" t="s">
        <v>23</v>
      </c>
      <c r="I32" s="128">
        <f t="shared" si="8"/>
        <v>100</v>
      </c>
      <c r="J32" s="128">
        <f t="shared" si="12"/>
        <v>150</v>
      </c>
      <c r="K32" s="130">
        <f t="shared" si="9"/>
        <v>54.930551788175357</v>
      </c>
      <c r="L32" s="203">
        <f t="shared" si="13"/>
        <v>0.57297588618434137</v>
      </c>
      <c r="M32" s="204">
        <f t="shared" si="14"/>
        <v>0.7941184545165858</v>
      </c>
      <c r="N32" s="33"/>
      <c r="O32" s="33"/>
    </row>
    <row r="33" spans="1:15" ht="21" x14ac:dyDescent="0.35">
      <c r="A33" s="123">
        <v>0.3</v>
      </c>
      <c r="B33" s="124">
        <f t="shared" si="10"/>
        <v>0.49836193833385922</v>
      </c>
      <c r="C33" s="125">
        <f t="shared" si="11"/>
        <v>0.39836194540903486</v>
      </c>
      <c r="D33" s="33"/>
      <c r="E33" s="126">
        <f>+H9</f>
        <v>0.57297588618434137</v>
      </c>
      <c r="F33" s="125">
        <f>+J9</f>
        <v>0.7941184545165858</v>
      </c>
      <c r="G33" s="33"/>
      <c r="H33" s="127" t="s">
        <v>24</v>
      </c>
      <c r="I33" s="128">
        <f t="shared" si="8"/>
        <v>100</v>
      </c>
      <c r="J33" s="128">
        <f t="shared" si="12"/>
        <v>150</v>
      </c>
      <c r="K33" s="130">
        <f t="shared" si="9"/>
        <v>59.401723831952488</v>
      </c>
      <c r="L33" s="203">
        <f t="shared" si="13"/>
        <v>0.43060012696369043</v>
      </c>
      <c r="M33" s="204">
        <f t="shared" si="14"/>
        <v>0.68034586245675355</v>
      </c>
      <c r="N33" s="33"/>
      <c r="O33" s="33"/>
    </row>
    <row r="34" spans="1:15" ht="21" x14ac:dyDescent="0.35">
      <c r="A34" s="123">
        <v>0.4</v>
      </c>
      <c r="B34" s="124">
        <f t="shared" si="10"/>
        <v>0.56502860500052599</v>
      </c>
      <c r="C34" s="125">
        <f t="shared" si="11"/>
        <v>0.53169527874236822</v>
      </c>
      <c r="D34" s="33"/>
      <c r="E34" s="126">
        <f>+H9</f>
        <v>0.57297588618434137</v>
      </c>
      <c r="F34" s="125">
        <f>+J10</f>
        <v>0.68034586245675355</v>
      </c>
      <c r="G34" s="33"/>
      <c r="H34" s="127" t="s">
        <v>25</v>
      </c>
      <c r="I34" s="128">
        <f t="shared" si="8"/>
        <v>200</v>
      </c>
      <c r="J34" s="128">
        <f t="shared" si="12"/>
        <v>150</v>
      </c>
      <c r="K34" s="130">
        <f t="shared" si="9"/>
        <v>62.677664852879751</v>
      </c>
      <c r="L34" s="203">
        <f t="shared" si="13"/>
        <v>0.33745966370757063</v>
      </c>
      <c r="M34" s="204">
        <f t="shared" si="14"/>
        <v>0.58542868964298611</v>
      </c>
      <c r="N34" s="33"/>
      <c r="O34" s="33"/>
    </row>
    <row r="35" spans="1:15" ht="21" x14ac:dyDescent="0.35">
      <c r="A35" s="123">
        <v>0.5</v>
      </c>
      <c r="B35" s="124">
        <f t="shared" si="10"/>
        <v>0.63169527166719264</v>
      </c>
      <c r="C35" s="125">
        <f t="shared" si="11"/>
        <v>0.66502861207570152</v>
      </c>
      <c r="D35" s="33"/>
      <c r="E35" s="126">
        <f>+H10</f>
        <v>0.43060012696369043</v>
      </c>
      <c r="F35" s="125">
        <f>+J10</f>
        <v>0.68034586245675355</v>
      </c>
      <c r="G35" s="33"/>
      <c r="H35" s="127" t="s">
        <v>26</v>
      </c>
      <c r="I35" s="128">
        <f t="shared" si="8"/>
        <v>200</v>
      </c>
      <c r="J35" s="128">
        <f t="shared" si="12"/>
        <v>150</v>
      </c>
      <c r="K35" s="130">
        <f t="shared" si="9"/>
        <v>66.872296406407884</v>
      </c>
      <c r="L35" s="203">
        <f t="shared" si="13"/>
        <v>0.22995590715445277</v>
      </c>
      <c r="M35" s="204">
        <f t="shared" si="14"/>
        <v>0.44830815661062001</v>
      </c>
      <c r="N35" s="33"/>
      <c r="O35" s="33"/>
    </row>
    <row r="36" spans="1:15" ht="21" x14ac:dyDescent="0.35">
      <c r="A36" s="123">
        <v>0.6</v>
      </c>
      <c r="B36" s="124">
        <f t="shared" si="10"/>
        <v>0.69836193833385929</v>
      </c>
      <c r="C36" s="125">
        <f t="shared" si="11"/>
        <v>0.79836194540903482</v>
      </c>
      <c r="D36" s="33"/>
      <c r="E36" s="126">
        <f>+H10</f>
        <v>0.43060012696369043</v>
      </c>
      <c r="F36" s="125">
        <f>+J11</f>
        <v>0.58542868964298611</v>
      </c>
      <c r="G36" s="33"/>
      <c r="H36" s="127" t="s">
        <v>27</v>
      </c>
      <c r="I36" s="128">
        <f t="shared" si="8"/>
        <v>200</v>
      </c>
      <c r="J36" s="128">
        <f t="shared" si="12"/>
        <v>150</v>
      </c>
      <c r="K36" s="130">
        <f t="shared" si="9"/>
        <v>70.742239527116666</v>
      </c>
      <c r="L36" s="203">
        <f t="shared" si="13"/>
        <v>0.14086892110691435</v>
      </c>
      <c r="M36" s="204">
        <f t="shared" si="14"/>
        <v>0.30496981453979627</v>
      </c>
      <c r="N36" s="33"/>
      <c r="O36" s="33"/>
    </row>
    <row r="37" spans="1:15" ht="21" x14ac:dyDescent="0.35">
      <c r="A37" s="123">
        <v>0.7</v>
      </c>
      <c r="B37" s="124">
        <f t="shared" si="10"/>
        <v>0.76502860500052594</v>
      </c>
      <c r="C37" s="125">
        <f t="shared" si="11"/>
        <v>0.93169527874236813</v>
      </c>
      <c r="D37" s="33"/>
      <c r="E37" s="126">
        <f>+H11</f>
        <v>0.33745966370757063</v>
      </c>
      <c r="F37" s="125">
        <f>+J11</f>
        <v>0.58542868964298611</v>
      </c>
      <c r="G37" s="33"/>
      <c r="H37" s="127" t="s">
        <v>28</v>
      </c>
      <c r="I37" s="128">
        <f t="shared" si="8"/>
        <v>200</v>
      </c>
      <c r="J37" s="128">
        <f t="shared" si="12"/>
        <v>150</v>
      </c>
      <c r="K37" s="130">
        <f t="shared" si="9"/>
        <v>73.641034314126173</v>
      </c>
      <c r="L37" s="203">
        <f t="shared" si="13"/>
        <v>7.9648027144424621E-2</v>
      </c>
      <c r="M37" s="204">
        <f t="shared" si="14"/>
        <v>0.18618716647641173</v>
      </c>
      <c r="N37" s="33"/>
      <c r="O37" s="33"/>
    </row>
    <row r="38" spans="1:15" ht="21" x14ac:dyDescent="0.35">
      <c r="A38" s="123">
        <v>0.8</v>
      </c>
      <c r="B38" s="124">
        <f t="shared" si="10"/>
        <v>0.83169527166719259</v>
      </c>
      <c r="C38" s="125">
        <f t="shared" si="11"/>
        <v>1.0650286120757015</v>
      </c>
      <c r="D38" s="33"/>
      <c r="E38" s="126">
        <f>+H11</f>
        <v>0.33745966370757063</v>
      </c>
      <c r="F38" s="125">
        <f>+J12</f>
        <v>0.44830815661062001</v>
      </c>
      <c r="G38" s="33"/>
      <c r="H38" s="127" t="s">
        <v>29</v>
      </c>
      <c r="I38" s="128">
        <f t="shared" si="8"/>
        <v>200</v>
      </c>
      <c r="J38" s="128">
        <f t="shared" si="12"/>
        <v>150</v>
      </c>
      <c r="K38" s="130">
        <f t="shared" si="9"/>
        <v>75.500034262763549</v>
      </c>
      <c r="L38" s="203">
        <f t="shared" si="13"/>
        <v>4.2613058220877444E-2</v>
      </c>
      <c r="M38" s="204">
        <f t="shared" si="14"/>
        <v>0.10455930785975878</v>
      </c>
      <c r="N38" s="33"/>
      <c r="O38" s="33"/>
    </row>
    <row r="39" spans="1:15" ht="21" x14ac:dyDescent="0.35">
      <c r="A39" s="123">
        <v>0.9</v>
      </c>
      <c r="B39" s="124">
        <f t="shared" si="10"/>
        <v>0.89836193833385924</v>
      </c>
      <c r="C39" s="125">
        <f t="shared" si="11"/>
        <v>1.1983619454090348</v>
      </c>
      <c r="D39" s="33"/>
      <c r="E39" s="126">
        <f>+H12</f>
        <v>0.22995590715445277</v>
      </c>
      <c r="F39" s="125">
        <f>+J12</f>
        <v>0.44830815661062001</v>
      </c>
      <c r="G39" s="33"/>
      <c r="H39" s="127" t="s">
        <v>30</v>
      </c>
      <c r="I39" s="128">
        <f t="shared" si="8"/>
        <v>200</v>
      </c>
      <c r="J39" s="128">
        <f t="shared" si="12"/>
        <v>150</v>
      </c>
      <c r="K39" s="130">
        <f t="shared" si="9"/>
        <v>76.578404757997347</v>
      </c>
      <c r="L39" s="203">
        <f t="shared" si="13"/>
        <v>2.1870816417315933E-2</v>
      </c>
      <c r="M39" s="204">
        <f t="shared" si="14"/>
        <v>5.5179349295029198E-2</v>
      </c>
      <c r="N39" s="33"/>
      <c r="O39" s="33"/>
    </row>
    <row r="40" spans="1:15" ht="21.75" thickBot="1" x14ac:dyDescent="0.4">
      <c r="A40" s="153">
        <v>1</v>
      </c>
      <c r="B40" s="136">
        <f t="shared" si="10"/>
        <v>0.9650286050005259</v>
      </c>
      <c r="C40" s="137">
        <f t="shared" si="11"/>
        <v>1.3316952787423681</v>
      </c>
      <c r="D40" s="33"/>
      <c r="E40" s="126">
        <f>+H12</f>
        <v>0.22995590715445277</v>
      </c>
      <c r="F40" s="125">
        <f>+J13</f>
        <v>0.30496981453979627</v>
      </c>
      <c r="G40" s="33"/>
      <c r="H40" s="127" t="s">
        <v>31</v>
      </c>
      <c r="I40" s="128">
        <f t="shared" si="8"/>
        <v>200</v>
      </c>
      <c r="J40" s="128">
        <f t="shared" si="12"/>
        <v>150</v>
      </c>
      <c r="K40" s="130">
        <f t="shared" si="9"/>
        <v>77.168283421301282</v>
      </c>
      <c r="L40" s="203">
        <f t="shared" si="13"/>
        <v>1.0744993311441237E-2</v>
      </c>
      <c r="M40" s="204">
        <f t="shared" si="14"/>
        <v>2.7523026890280515E-2</v>
      </c>
      <c r="N40" s="33"/>
      <c r="O40" s="33"/>
    </row>
    <row r="41" spans="1:15" ht="22.5" thickTop="1" thickBot="1" x14ac:dyDescent="0.4">
      <c r="A41" s="33"/>
      <c r="B41" s="33"/>
      <c r="C41" s="33"/>
      <c r="D41" s="33"/>
      <c r="E41" s="126">
        <f>+H13</f>
        <v>0.14086892110691435</v>
      </c>
      <c r="F41" s="125">
        <f>+J13</f>
        <v>0.30496981453979627</v>
      </c>
      <c r="G41" s="33"/>
      <c r="H41" s="138" t="s">
        <v>0</v>
      </c>
      <c r="I41" s="139">
        <f t="shared" si="8"/>
        <v>50</v>
      </c>
      <c r="J41" s="139">
        <f t="shared" si="12"/>
        <v>150</v>
      </c>
      <c r="K41" s="141">
        <f t="shared" si="9"/>
        <v>77.480693862186328</v>
      </c>
      <c r="L41" s="205">
        <f t="shared" si="13"/>
        <v>4.9141637728952635E-3</v>
      </c>
      <c r="M41" s="206">
        <f t="shared" si="14"/>
        <v>1.268859608244759E-2</v>
      </c>
      <c r="N41" s="33"/>
      <c r="O41" s="33"/>
    </row>
    <row r="42" spans="1:15" ht="21.75" thickTop="1" x14ac:dyDescent="0.35">
      <c r="A42" s="143" t="s">
        <v>35</v>
      </c>
      <c r="B42" s="144" t="s">
        <v>3</v>
      </c>
      <c r="C42" s="145" t="s">
        <v>4</v>
      </c>
      <c r="D42" s="33"/>
      <c r="E42" s="126">
        <f>+H13</f>
        <v>0.14086892110691435</v>
      </c>
      <c r="F42" s="125">
        <f>+J14</f>
        <v>0.18618716647641173</v>
      </c>
      <c r="G42" s="33"/>
      <c r="H42" s="33"/>
      <c r="I42" s="33"/>
      <c r="J42" s="33"/>
      <c r="K42" s="33"/>
      <c r="L42" s="33"/>
      <c r="M42" s="202"/>
      <c r="N42" s="33"/>
      <c r="O42" s="33"/>
    </row>
    <row r="43" spans="1:15" ht="21" x14ac:dyDescent="0.35">
      <c r="A43" s="123"/>
      <c r="B43" s="96">
        <f>+SUM(C8:C17)</f>
        <v>0.45</v>
      </c>
      <c r="C43" s="97">
        <v>0</v>
      </c>
      <c r="D43" s="33"/>
      <c r="E43" s="126">
        <f>+H14</f>
        <v>7.9648027144424621E-2</v>
      </c>
      <c r="F43" s="125">
        <f>+J14</f>
        <v>0.18618716647641173</v>
      </c>
      <c r="G43" s="33"/>
      <c r="H43" s="33"/>
      <c r="I43" s="33"/>
      <c r="J43" s="33"/>
      <c r="K43" s="33"/>
      <c r="L43" s="33"/>
      <c r="M43" s="33"/>
      <c r="N43" s="33"/>
      <c r="O43" s="33"/>
    </row>
    <row r="44" spans="1:15" ht="21.75" thickBot="1" x14ac:dyDescent="0.4">
      <c r="A44" s="153"/>
      <c r="B44" s="111">
        <f>+SUM(C8:C17)</f>
        <v>0.45</v>
      </c>
      <c r="C44" s="154">
        <v>1</v>
      </c>
      <c r="D44" s="33"/>
      <c r="E44" s="126">
        <f>+H14</f>
        <v>7.9648027144424621E-2</v>
      </c>
      <c r="F44" s="125">
        <f>+J15</f>
        <v>0.10455930785975878</v>
      </c>
      <c r="G44" s="33"/>
      <c r="H44" s="33"/>
      <c r="I44" s="33"/>
      <c r="J44" s="33"/>
      <c r="K44" s="33"/>
      <c r="L44" s="33"/>
      <c r="M44" s="33"/>
      <c r="N44" s="33"/>
      <c r="O44" s="33"/>
    </row>
    <row r="45" spans="1:15" ht="22.5" thickTop="1" thickBot="1" x14ac:dyDescent="0.4">
      <c r="A45" s="152"/>
      <c r="B45" s="152"/>
      <c r="C45" s="152"/>
      <c r="D45" s="33"/>
      <c r="E45" s="126">
        <f>+H15</f>
        <v>4.2613058220877444E-2</v>
      </c>
      <c r="F45" s="125">
        <f>+J15</f>
        <v>0.10455930785975878</v>
      </c>
      <c r="G45" s="33"/>
      <c r="H45" s="33"/>
      <c r="I45" s="33"/>
      <c r="J45" s="33"/>
      <c r="K45" s="33"/>
      <c r="L45" s="33"/>
      <c r="M45" s="33"/>
      <c r="N45" s="33"/>
      <c r="O45" s="33"/>
    </row>
    <row r="46" spans="1:15" ht="24" thickTop="1" x14ac:dyDescent="0.35">
      <c r="A46" s="143" t="s">
        <v>107</v>
      </c>
      <c r="B46" s="146" t="s">
        <v>3</v>
      </c>
      <c r="C46" s="145" t="s">
        <v>4</v>
      </c>
      <c r="D46" s="33"/>
      <c r="E46" s="126">
        <f>+H15</f>
        <v>4.2613058220877444E-2</v>
      </c>
      <c r="F46" s="125">
        <f>+J16</f>
        <v>5.5179349295029198E-2</v>
      </c>
      <c r="G46" s="33"/>
      <c r="H46" s="33"/>
      <c r="I46" s="33"/>
      <c r="J46" s="33"/>
      <c r="K46" s="33"/>
      <c r="L46" s="33"/>
      <c r="M46" s="33"/>
      <c r="N46" s="33"/>
      <c r="O46" s="33"/>
    </row>
    <row r="47" spans="1:15" ht="21" x14ac:dyDescent="0.35">
      <c r="A47" s="123"/>
      <c r="B47" s="96">
        <v>0</v>
      </c>
      <c r="C47" s="97">
        <v>0</v>
      </c>
      <c r="D47" s="33"/>
      <c r="E47" s="126">
        <f>+H16</f>
        <v>2.1870816417315933E-2</v>
      </c>
      <c r="F47" s="125">
        <f>+J16</f>
        <v>5.5179349295029198E-2</v>
      </c>
      <c r="G47" s="33"/>
      <c r="H47" s="33"/>
      <c r="I47" s="33"/>
      <c r="J47" s="33"/>
      <c r="K47" s="33"/>
      <c r="L47" s="33"/>
      <c r="M47" s="33"/>
      <c r="N47" s="33"/>
      <c r="O47" s="33"/>
    </row>
    <row r="48" spans="1:15" ht="21.75" thickBot="1" x14ac:dyDescent="0.4">
      <c r="A48" s="153"/>
      <c r="B48" s="111">
        <v>1</v>
      </c>
      <c r="C48" s="154">
        <v>1</v>
      </c>
      <c r="D48" s="33"/>
      <c r="E48" s="126">
        <f>+H16</f>
        <v>2.1870816417315933E-2</v>
      </c>
      <c r="F48" s="125">
        <f>+J17</f>
        <v>2.7523026890280515E-2</v>
      </c>
      <c r="G48" s="33"/>
      <c r="H48" s="33"/>
      <c r="I48" s="33"/>
      <c r="J48" s="33"/>
      <c r="K48" s="33"/>
      <c r="L48" s="33"/>
      <c r="M48" s="33"/>
      <c r="N48" s="33"/>
      <c r="O48" s="33"/>
    </row>
    <row r="49" spans="1:15" ht="21.75" thickTop="1" x14ac:dyDescent="0.35">
      <c r="A49" s="33"/>
      <c r="B49" s="33"/>
      <c r="C49" s="33"/>
      <c r="D49" s="33"/>
      <c r="E49" s="126">
        <f>+H17</f>
        <v>1.0744993311441237E-2</v>
      </c>
      <c r="F49" s="125">
        <f>+J17</f>
        <v>2.7523026890280515E-2</v>
      </c>
      <c r="G49" s="33"/>
      <c r="H49" s="33"/>
      <c r="I49" s="33"/>
      <c r="J49" s="33"/>
      <c r="K49" s="33"/>
      <c r="L49" s="33"/>
      <c r="M49" s="33"/>
      <c r="N49" s="33"/>
      <c r="O49" s="33"/>
    </row>
    <row r="50" spans="1:15" ht="21" x14ac:dyDescent="0.35">
      <c r="A50" s="33"/>
      <c r="B50" s="147"/>
      <c r="C50" s="33"/>
      <c r="D50" s="33"/>
      <c r="E50" s="126">
        <f>+H17</f>
        <v>1.0744993311441237E-2</v>
      </c>
      <c r="F50" s="125">
        <f>+J18</f>
        <v>1.268859608244759E-2</v>
      </c>
      <c r="G50" s="33"/>
      <c r="H50" s="33"/>
      <c r="I50" s="33"/>
      <c r="J50" s="33"/>
      <c r="K50" s="33"/>
      <c r="L50" s="33"/>
      <c r="M50" s="33"/>
      <c r="N50" s="33"/>
      <c r="O50" s="33"/>
    </row>
    <row r="51" spans="1:15" ht="21" x14ac:dyDescent="0.35">
      <c r="A51" s="33"/>
      <c r="B51" s="33"/>
      <c r="C51" s="33"/>
      <c r="D51" s="33"/>
      <c r="E51" s="126">
        <f>+H18</f>
        <v>4.9141637728952635E-3</v>
      </c>
      <c r="F51" s="125">
        <f>+J18</f>
        <v>1.268859608244759E-2</v>
      </c>
      <c r="G51" s="33"/>
      <c r="H51" s="33"/>
      <c r="I51" s="33"/>
      <c r="J51" s="33"/>
      <c r="K51" s="33"/>
      <c r="L51" s="33"/>
      <c r="M51" s="33"/>
      <c r="N51" s="33"/>
      <c r="O51" s="33"/>
    </row>
    <row r="52" spans="1:15" ht="21.75" thickBot="1" x14ac:dyDescent="0.4">
      <c r="A52" s="33"/>
      <c r="B52" s="33"/>
      <c r="C52" s="33"/>
      <c r="D52" s="33"/>
      <c r="E52" s="148">
        <f>+H18</f>
        <v>4.9141637728952635E-3</v>
      </c>
      <c r="F52" s="137">
        <f>+H19</f>
        <v>4.9141849984221152E-3</v>
      </c>
      <c r="G52" s="33"/>
      <c r="H52" s="33"/>
      <c r="I52" s="33"/>
      <c r="J52" s="33"/>
      <c r="K52" s="33"/>
      <c r="L52" s="33"/>
      <c r="M52" s="33"/>
      <c r="N52" s="33"/>
      <c r="O52" s="33"/>
    </row>
    <row r="53" spans="1:15" ht="13.5" thickTop="1" x14ac:dyDescent="0.2"/>
  </sheetData>
  <mergeCells count="1">
    <mergeCell ref="E28:F28"/>
  </mergeCells>
  <pageMargins left="0.7" right="0.7" top="0.75" bottom="0.75" header="0.3" footer="0.3"/>
  <pageSetup scale="43" orientation="landscape" r:id="rId1"/>
  <ignoredErrors>
    <ignoredError sqref="H30:H41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"/>
  <sheetViews>
    <sheetView workbookViewId="0">
      <selection activeCell="J29" sqref="J29"/>
    </sheetView>
  </sheetViews>
  <sheetFormatPr defaultRowHeight="12.75" x14ac:dyDescent="0.2"/>
  <cols>
    <col min="8" max="14" width="9" style="290"/>
  </cols>
  <sheetData>
    <row r="1" spans="1:13" x14ac:dyDescent="0.2">
      <c r="A1" s="289" t="s">
        <v>75</v>
      </c>
    </row>
    <row r="2" spans="1:13" x14ac:dyDescent="0.2">
      <c r="H2" s="291" t="s">
        <v>1</v>
      </c>
      <c r="I2" s="291" t="s">
        <v>19</v>
      </c>
      <c r="J2" s="291" t="s">
        <v>3</v>
      </c>
      <c r="K2" s="291" t="s">
        <v>20</v>
      </c>
      <c r="L2" s="291" t="s">
        <v>4</v>
      </c>
      <c r="M2" s="291" t="s">
        <v>12</v>
      </c>
    </row>
    <row r="3" spans="1:13" x14ac:dyDescent="0.2">
      <c r="A3" t="s">
        <v>1</v>
      </c>
      <c r="B3" t="s">
        <v>169</v>
      </c>
      <c r="C3">
        <v>1</v>
      </c>
      <c r="D3">
        <v>46.86</v>
      </c>
      <c r="E3" t="s">
        <v>10</v>
      </c>
      <c r="F3">
        <v>1000</v>
      </c>
      <c r="G3" t="s">
        <v>170</v>
      </c>
      <c r="H3" s="290">
        <f>+C3</f>
        <v>1</v>
      </c>
      <c r="I3" s="293">
        <f>+D7</f>
        <v>100</v>
      </c>
      <c r="J3" s="292">
        <f>+C5/D7</f>
        <v>0.89029030000000009</v>
      </c>
      <c r="M3" s="293">
        <f>+D3</f>
        <v>46.86</v>
      </c>
    </row>
    <row r="4" spans="1:13" x14ac:dyDescent="0.2">
      <c r="B4" t="s">
        <v>171</v>
      </c>
      <c r="C4" t="s">
        <v>172</v>
      </c>
      <c r="D4" t="s">
        <v>173</v>
      </c>
      <c r="E4" t="s">
        <v>172</v>
      </c>
      <c r="F4" t="s">
        <v>174</v>
      </c>
      <c r="H4" s="290">
        <f>+C9</f>
        <v>2</v>
      </c>
      <c r="I4" s="293">
        <f>+D13</f>
        <v>96.633399999999995</v>
      </c>
      <c r="J4" s="292">
        <f>+C11/D13</f>
        <v>0.74343022184876051</v>
      </c>
      <c r="K4" s="293">
        <f>+C13</f>
        <v>150</v>
      </c>
      <c r="L4" s="292">
        <f>+B11/C13</f>
        <v>0.89029033333333341</v>
      </c>
      <c r="M4" s="293">
        <f>+D9</f>
        <v>50.44</v>
      </c>
    </row>
    <row r="5" spans="1:13" x14ac:dyDescent="0.2">
      <c r="A5" t="s">
        <v>175</v>
      </c>
      <c r="B5">
        <v>0</v>
      </c>
      <c r="C5">
        <v>89.029030000000006</v>
      </c>
      <c r="D5">
        <v>0</v>
      </c>
      <c r="H5" s="290">
        <f>+C15</f>
        <v>3</v>
      </c>
      <c r="I5" s="293">
        <f>+D19</f>
        <v>93.958299999999994</v>
      </c>
      <c r="J5" s="292">
        <f>+C17/D19</f>
        <v>0.5839644821160026</v>
      </c>
      <c r="K5" s="293">
        <f>+C19</f>
        <v>146.63339999999999</v>
      </c>
      <c r="L5" s="292">
        <f>+B17/C19</f>
        <v>0.79350755012159579</v>
      </c>
      <c r="M5" s="293">
        <f>+D15</f>
        <v>54.84</v>
      </c>
    </row>
    <row r="6" spans="1:13" x14ac:dyDescent="0.2">
      <c r="A6" t="s">
        <v>176</v>
      </c>
      <c r="B6">
        <v>0</v>
      </c>
      <c r="C6">
        <v>10.971</v>
      </c>
      <c r="D6">
        <v>0</v>
      </c>
      <c r="H6" s="290">
        <f>+C21</f>
        <v>4</v>
      </c>
      <c r="I6" s="293">
        <f>+D25</f>
        <v>92.438900000000004</v>
      </c>
      <c r="J6" s="292">
        <f>+C23/D25</f>
        <v>0.45390295643933448</v>
      </c>
      <c r="K6" s="293">
        <f>+C25</f>
        <v>143.95830000000001</v>
      </c>
      <c r="L6" s="292">
        <f>+B23/C25</f>
        <v>0.69035831904100009</v>
      </c>
      <c r="M6" s="293">
        <f>+D21</f>
        <v>58.89</v>
      </c>
    </row>
    <row r="7" spans="1:13" x14ac:dyDescent="0.2">
      <c r="A7" t="s">
        <v>177</v>
      </c>
      <c r="B7" t="s">
        <v>172</v>
      </c>
      <c r="C7">
        <v>0</v>
      </c>
      <c r="D7">
        <v>100</v>
      </c>
      <c r="H7" s="290">
        <f>+C27</f>
        <v>5</v>
      </c>
      <c r="I7" s="293">
        <f>+D31</f>
        <v>191.32069999999999</v>
      </c>
      <c r="J7" s="292">
        <f>+C29/D31</f>
        <v>0.3688371932571855</v>
      </c>
      <c r="K7" s="293">
        <f>+C31</f>
        <v>142.43889999999999</v>
      </c>
      <c r="L7" s="292">
        <f>+B29/C31</f>
        <v>0.60708703872327008</v>
      </c>
      <c r="M7" s="293">
        <f>+D27</f>
        <v>61.82</v>
      </c>
    </row>
    <row r="8" spans="1:13" x14ac:dyDescent="0.2">
      <c r="H8" s="290">
        <f>+C33</f>
        <v>6</v>
      </c>
      <c r="I8" s="293">
        <f>+D37</f>
        <v>190.49350000000001</v>
      </c>
      <c r="J8" s="292">
        <f>+C35/D37</f>
        <v>0.27455619220603328</v>
      </c>
      <c r="K8" s="293">
        <f>+C37</f>
        <v>141.32069999999999</v>
      </c>
      <c r="L8" s="292">
        <f>+B35/C37</f>
        <v>0.49589847771770168</v>
      </c>
      <c r="M8" s="293">
        <f>+D33</f>
        <v>65.349999999999994</v>
      </c>
    </row>
    <row r="9" spans="1:13" x14ac:dyDescent="0.2">
      <c r="A9" t="s">
        <v>1</v>
      </c>
      <c r="B9" t="s">
        <v>169</v>
      </c>
      <c r="C9">
        <v>2</v>
      </c>
      <c r="D9">
        <v>50.44</v>
      </c>
      <c r="E9" t="s">
        <v>10</v>
      </c>
      <c r="F9">
        <v>1000</v>
      </c>
      <c r="G9" t="s">
        <v>170</v>
      </c>
      <c r="H9" s="290">
        <f>+C39</f>
        <v>7</v>
      </c>
      <c r="I9" s="293">
        <f>+D43</f>
        <v>190.4033</v>
      </c>
      <c r="J9" s="292">
        <f>+C41/D43</f>
        <v>0.18612723624012817</v>
      </c>
      <c r="K9" s="293">
        <f>+C43</f>
        <v>140.49350000000001</v>
      </c>
      <c r="L9" s="292">
        <f>+B41/C43</f>
        <v>0.36881208027417633</v>
      </c>
      <c r="M9" s="293">
        <f>+D39</f>
        <v>68.97</v>
      </c>
    </row>
    <row r="10" spans="1:13" x14ac:dyDescent="0.2">
      <c r="B10" t="s">
        <v>171</v>
      </c>
      <c r="C10" t="s">
        <v>172</v>
      </c>
      <c r="D10" t="s">
        <v>173</v>
      </c>
      <c r="E10" t="s">
        <v>172</v>
      </c>
      <c r="F10" t="s">
        <v>174</v>
      </c>
      <c r="H10" s="290">
        <f>+C45</f>
        <v>8</v>
      </c>
      <c r="I10" s="293">
        <f>+D49</f>
        <v>190.83580000000001</v>
      </c>
      <c r="J10" s="292">
        <f>+C47/D49</f>
        <v>0.11630810361577859</v>
      </c>
      <c r="K10" s="293">
        <f>+C49</f>
        <v>140.4033</v>
      </c>
      <c r="L10" s="292">
        <f>+B47/C49</f>
        <v>0.2489525531095067</v>
      </c>
      <c r="M10" s="293">
        <f>+D45</f>
        <v>72.069999999999993</v>
      </c>
    </row>
    <row r="11" spans="1:13" x14ac:dyDescent="0.2">
      <c r="A11" t="s">
        <v>175</v>
      </c>
      <c r="B11">
        <v>133.54355000000001</v>
      </c>
      <c r="C11">
        <v>71.840190000000007</v>
      </c>
      <c r="D11">
        <v>1.19754</v>
      </c>
      <c r="H11" s="290">
        <f>+C51</f>
        <v>9</v>
      </c>
      <c r="I11" s="293">
        <f>+D55</f>
        <v>191.41970000000001</v>
      </c>
      <c r="J11" s="292">
        <f>+C53/D55</f>
        <v>6.8137187551751466E-2</v>
      </c>
      <c r="K11" s="293">
        <f>+C55</f>
        <v>140.83580000000001</v>
      </c>
      <c r="L11" s="292">
        <f>+B53/C55</f>
        <v>0.15415306335463</v>
      </c>
      <c r="M11" s="293">
        <f>+D51</f>
        <v>74.34</v>
      </c>
    </row>
    <row r="12" spans="1:13" x14ac:dyDescent="0.2">
      <c r="A12" t="s">
        <v>176</v>
      </c>
      <c r="B12">
        <v>16.456499999999998</v>
      </c>
      <c r="C12">
        <v>24.793199999999999</v>
      </c>
      <c r="D12">
        <v>0.42759999999999998</v>
      </c>
      <c r="H12" s="290">
        <f>+C57</f>
        <v>10</v>
      </c>
      <c r="I12" s="293">
        <f>+D61</f>
        <v>191.91149999999999</v>
      </c>
      <c r="J12" s="292">
        <f>+C59/D61</f>
        <v>3.7870633078267851E-2</v>
      </c>
      <c r="K12" s="293">
        <f>+C61</f>
        <v>141.41970000000001</v>
      </c>
      <c r="L12" s="292">
        <f>+B59/C61</f>
        <v>8.8794771874074113E-2</v>
      </c>
      <c r="M12" s="293">
        <f>+D57</f>
        <v>75.83</v>
      </c>
    </row>
    <row r="13" spans="1:13" x14ac:dyDescent="0.2">
      <c r="A13" t="s">
        <v>177</v>
      </c>
      <c r="B13" t="s">
        <v>172</v>
      </c>
      <c r="C13">
        <v>150</v>
      </c>
      <c r="D13">
        <v>96.633399999999995</v>
      </c>
      <c r="H13" s="290">
        <f>+C63</f>
        <v>11</v>
      </c>
      <c r="I13" s="293">
        <f>+D67</f>
        <v>192.24930000000001</v>
      </c>
      <c r="J13" s="292">
        <f>+C65/D67</f>
        <v>1.9949981612416793E-2</v>
      </c>
      <c r="K13" s="293">
        <f>+C67</f>
        <v>141.91149999999999</v>
      </c>
      <c r="L13" s="292">
        <f>+B65/C67</f>
        <v>4.7792673602914497E-2</v>
      </c>
      <c r="M13" s="293">
        <f>+D63</f>
        <v>76.73</v>
      </c>
    </row>
    <row r="14" spans="1:13" x14ac:dyDescent="0.2">
      <c r="H14" s="290">
        <f>+C69</f>
        <v>12</v>
      </c>
      <c r="I14" s="293">
        <f>+D73</f>
        <v>50</v>
      </c>
      <c r="J14" s="292">
        <f>+C71/D73</f>
        <v>9.7094E-3</v>
      </c>
      <c r="K14" s="293">
        <f>+C73</f>
        <v>142.24930000000001</v>
      </c>
      <c r="L14" s="292">
        <f>+B71/C73</f>
        <v>2.35495007708298E-2</v>
      </c>
      <c r="M14" s="293">
        <f>+D69</f>
        <v>77.260000000000005</v>
      </c>
    </row>
    <row r="15" spans="1:13" x14ac:dyDescent="0.2">
      <c r="A15" t="s">
        <v>1</v>
      </c>
      <c r="B15" t="s">
        <v>169</v>
      </c>
      <c r="C15">
        <v>3</v>
      </c>
      <c r="D15">
        <v>54.84</v>
      </c>
      <c r="E15" t="s">
        <v>10</v>
      </c>
      <c r="F15">
        <v>1000</v>
      </c>
      <c r="G15" t="s">
        <v>170</v>
      </c>
    </row>
    <row r="16" spans="1:13" x14ac:dyDescent="0.2">
      <c r="B16" t="s">
        <v>171</v>
      </c>
      <c r="C16" t="s">
        <v>172</v>
      </c>
      <c r="D16" t="s">
        <v>173</v>
      </c>
      <c r="E16" t="s">
        <v>172</v>
      </c>
      <c r="F16" t="s">
        <v>174</v>
      </c>
    </row>
    <row r="17" spans="1:7" x14ac:dyDescent="0.2">
      <c r="A17" t="s">
        <v>175</v>
      </c>
      <c r="B17">
        <v>116.35471</v>
      </c>
      <c r="C17">
        <v>54.868310000000001</v>
      </c>
      <c r="D17">
        <v>1.35883</v>
      </c>
    </row>
    <row r="18" spans="1:7" x14ac:dyDescent="0.2">
      <c r="A18" t="s">
        <v>176</v>
      </c>
      <c r="B18">
        <v>30.278700000000001</v>
      </c>
      <c r="C18">
        <v>39.090000000000003</v>
      </c>
      <c r="D18">
        <v>0.49632999999999999</v>
      </c>
    </row>
    <row r="19" spans="1:7" x14ac:dyDescent="0.2">
      <c r="A19" t="s">
        <v>177</v>
      </c>
      <c r="B19" t="s">
        <v>172</v>
      </c>
      <c r="C19">
        <v>146.63339999999999</v>
      </c>
      <c r="D19">
        <v>93.958299999999994</v>
      </c>
    </row>
    <row r="21" spans="1:7" x14ac:dyDescent="0.2">
      <c r="A21" t="s">
        <v>1</v>
      </c>
      <c r="B21" t="s">
        <v>169</v>
      </c>
      <c r="C21">
        <v>4</v>
      </c>
      <c r="D21">
        <v>58.89</v>
      </c>
      <c r="E21" t="s">
        <v>10</v>
      </c>
      <c r="F21">
        <v>1000</v>
      </c>
      <c r="G21" t="s">
        <v>170</v>
      </c>
    </row>
    <row r="22" spans="1:7" x14ac:dyDescent="0.2">
      <c r="B22" t="s">
        <v>171</v>
      </c>
      <c r="C22" t="s">
        <v>172</v>
      </c>
      <c r="D22" t="s">
        <v>173</v>
      </c>
      <c r="E22" t="s">
        <v>172</v>
      </c>
      <c r="F22" t="s">
        <v>174</v>
      </c>
    </row>
    <row r="23" spans="1:7" x14ac:dyDescent="0.2">
      <c r="A23" t="s">
        <v>175</v>
      </c>
      <c r="B23">
        <v>99.382810000000006</v>
      </c>
      <c r="C23">
        <v>41.958289999999998</v>
      </c>
      <c r="D23">
        <v>1.52094</v>
      </c>
    </row>
    <row r="24" spans="1:7" x14ac:dyDescent="0.2">
      <c r="A24" t="s">
        <v>176</v>
      </c>
      <c r="B24">
        <v>44.575499999999998</v>
      </c>
      <c r="C24">
        <v>50.480609999999999</v>
      </c>
      <c r="D24">
        <v>0.56701000000000001</v>
      </c>
    </row>
    <row r="25" spans="1:7" x14ac:dyDescent="0.2">
      <c r="A25" t="s">
        <v>177</v>
      </c>
      <c r="B25" t="s">
        <v>172</v>
      </c>
      <c r="C25">
        <v>143.95830000000001</v>
      </c>
      <c r="D25">
        <v>92.438900000000004</v>
      </c>
    </row>
    <row r="27" spans="1:7" x14ac:dyDescent="0.2">
      <c r="A27" t="s">
        <v>1</v>
      </c>
      <c r="B27" t="s">
        <v>169</v>
      </c>
      <c r="C27">
        <v>5</v>
      </c>
      <c r="D27">
        <v>61.82</v>
      </c>
      <c r="E27" t="s">
        <v>10</v>
      </c>
      <c r="F27">
        <v>1000</v>
      </c>
      <c r="G27" t="s">
        <v>170</v>
      </c>
    </row>
    <row r="28" spans="1:7" x14ac:dyDescent="0.2">
      <c r="B28" t="s">
        <v>171</v>
      </c>
      <c r="C28" t="s">
        <v>172</v>
      </c>
      <c r="D28" t="s">
        <v>173</v>
      </c>
      <c r="E28" t="s">
        <v>172</v>
      </c>
      <c r="F28" t="s">
        <v>174</v>
      </c>
    </row>
    <row r="29" spans="1:7" x14ac:dyDescent="0.2">
      <c r="A29" t="s">
        <v>175</v>
      </c>
      <c r="B29">
        <v>86.472809999999996</v>
      </c>
      <c r="C29">
        <v>70.566190000000006</v>
      </c>
      <c r="D29">
        <v>1.64595</v>
      </c>
    </row>
    <row r="30" spans="1:7" x14ac:dyDescent="0.2">
      <c r="A30" t="s">
        <v>176</v>
      </c>
      <c r="B30">
        <v>55.96611</v>
      </c>
      <c r="C30">
        <v>120.75449</v>
      </c>
      <c r="D30">
        <v>0.62251999999999996</v>
      </c>
    </row>
    <row r="31" spans="1:7" x14ac:dyDescent="0.2">
      <c r="A31" t="s">
        <v>177</v>
      </c>
      <c r="B31" t="s">
        <v>172</v>
      </c>
      <c r="C31">
        <v>142.43889999999999</v>
      </c>
      <c r="D31">
        <v>191.32069999999999</v>
      </c>
    </row>
    <row r="33" spans="1:7" x14ac:dyDescent="0.2">
      <c r="A33" t="s">
        <v>1</v>
      </c>
      <c r="B33" t="s">
        <v>169</v>
      </c>
      <c r="C33">
        <v>6</v>
      </c>
      <c r="D33">
        <v>65.349999999999994</v>
      </c>
      <c r="E33" t="s">
        <v>10</v>
      </c>
      <c r="F33">
        <v>1000</v>
      </c>
      <c r="G33" t="s">
        <v>170</v>
      </c>
    </row>
    <row r="34" spans="1:7" x14ac:dyDescent="0.2">
      <c r="B34" t="s">
        <v>171</v>
      </c>
      <c r="C34" t="s">
        <v>172</v>
      </c>
      <c r="D34" t="s">
        <v>173</v>
      </c>
      <c r="E34" t="s">
        <v>172</v>
      </c>
      <c r="F34" t="s">
        <v>174</v>
      </c>
    </row>
    <row r="35" spans="1:7" x14ac:dyDescent="0.2">
      <c r="A35" t="s">
        <v>175</v>
      </c>
      <c r="B35">
        <v>70.080719999999999</v>
      </c>
      <c r="C35">
        <v>52.301169999999999</v>
      </c>
      <c r="D35">
        <v>1.8061799999999999</v>
      </c>
    </row>
    <row r="36" spans="1:7" x14ac:dyDescent="0.2">
      <c r="A36" t="s">
        <v>176</v>
      </c>
      <c r="B36">
        <v>71.239990000000006</v>
      </c>
      <c r="C36">
        <v>138.19234</v>
      </c>
      <c r="D36">
        <v>0.69489000000000001</v>
      </c>
    </row>
    <row r="37" spans="1:7" x14ac:dyDescent="0.2">
      <c r="A37" t="s">
        <v>177</v>
      </c>
      <c r="B37" t="s">
        <v>172</v>
      </c>
      <c r="C37">
        <v>141.32069999999999</v>
      </c>
      <c r="D37">
        <v>190.49350000000001</v>
      </c>
    </row>
    <row r="39" spans="1:7" x14ac:dyDescent="0.2">
      <c r="A39" t="s">
        <v>1</v>
      </c>
      <c r="B39" t="s">
        <v>169</v>
      </c>
      <c r="C39">
        <v>7</v>
      </c>
      <c r="D39">
        <v>68.97</v>
      </c>
      <c r="E39" t="s">
        <v>10</v>
      </c>
      <c r="F39">
        <v>1000</v>
      </c>
      <c r="G39" t="s">
        <v>170</v>
      </c>
    </row>
    <row r="40" spans="1:7" x14ac:dyDescent="0.2">
      <c r="B40" t="s">
        <v>171</v>
      </c>
      <c r="C40" t="s">
        <v>172</v>
      </c>
      <c r="D40" t="s">
        <v>173</v>
      </c>
      <c r="E40" t="s">
        <v>172</v>
      </c>
      <c r="F40" t="s">
        <v>174</v>
      </c>
    </row>
    <row r="41" spans="1:7" x14ac:dyDescent="0.2">
      <c r="A41" t="s">
        <v>175</v>
      </c>
      <c r="B41">
        <v>51.8157</v>
      </c>
      <c r="C41">
        <v>35.439239999999998</v>
      </c>
      <c r="D41">
        <v>1.9815100000000001</v>
      </c>
    </row>
    <row r="42" spans="1:7" x14ac:dyDescent="0.2">
      <c r="A42" t="s">
        <v>176</v>
      </c>
      <c r="B42">
        <v>88.67783</v>
      </c>
      <c r="C42">
        <v>154.96406999999999</v>
      </c>
      <c r="D42">
        <v>0.77554000000000001</v>
      </c>
    </row>
    <row r="43" spans="1:7" x14ac:dyDescent="0.2">
      <c r="A43" t="s">
        <v>177</v>
      </c>
      <c r="B43" t="s">
        <v>172</v>
      </c>
      <c r="C43">
        <v>140.49350000000001</v>
      </c>
      <c r="D43">
        <v>190.4033</v>
      </c>
    </row>
    <row r="45" spans="1:7" x14ac:dyDescent="0.2">
      <c r="A45" t="s">
        <v>1</v>
      </c>
      <c r="B45" t="s">
        <v>169</v>
      </c>
      <c r="C45">
        <v>8</v>
      </c>
      <c r="D45">
        <v>72.069999999999993</v>
      </c>
      <c r="E45" t="s">
        <v>10</v>
      </c>
      <c r="F45">
        <v>1000</v>
      </c>
      <c r="G45" t="s">
        <v>170</v>
      </c>
    </row>
    <row r="46" spans="1:7" x14ac:dyDescent="0.2">
      <c r="B46" t="s">
        <v>171</v>
      </c>
      <c r="C46" t="s">
        <v>172</v>
      </c>
      <c r="D46" t="s">
        <v>173</v>
      </c>
      <c r="E46" t="s">
        <v>172</v>
      </c>
      <c r="F46" t="s">
        <v>174</v>
      </c>
    </row>
    <row r="47" spans="1:7" x14ac:dyDescent="0.2">
      <c r="A47" t="s">
        <v>175</v>
      </c>
      <c r="B47">
        <v>34.953760000000003</v>
      </c>
      <c r="C47">
        <v>22.19575</v>
      </c>
      <c r="D47">
        <v>2.14046</v>
      </c>
    </row>
    <row r="48" spans="1:7" x14ac:dyDescent="0.2">
      <c r="A48" t="s">
        <v>176</v>
      </c>
      <c r="B48">
        <v>105.44955</v>
      </c>
      <c r="C48">
        <v>168.64008999999999</v>
      </c>
      <c r="D48">
        <v>0.84989999999999999</v>
      </c>
    </row>
    <row r="49" spans="1:7" x14ac:dyDescent="0.2">
      <c r="A49" t="s">
        <v>177</v>
      </c>
      <c r="B49" t="s">
        <v>172</v>
      </c>
      <c r="C49">
        <v>140.4033</v>
      </c>
      <c r="D49">
        <v>190.83580000000001</v>
      </c>
    </row>
    <row r="51" spans="1:7" x14ac:dyDescent="0.2">
      <c r="A51" t="s">
        <v>1</v>
      </c>
      <c r="B51" t="s">
        <v>169</v>
      </c>
      <c r="C51">
        <v>9</v>
      </c>
      <c r="D51">
        <v>74.34</v>
      </c>
      <c r="E51" t="s">
        <v>10</v>
      </c>
      <c r="F51">
        <v>1000</v>
      </c>
      <c r="G51" t="s">
        <v>170</v>
      </c>
    </row>
    <row r="52" spans="1:7" x14ac:dyDescent="0.2">
      <c r="B52" t="s">
        <v>171</v>
      </c>
      <c r="C52" t="s">
        <v>172</v>
      </c>
      <c r="D52" t="s">
        <v>173</v>
      </c>
      <c r="E52" t="s">
        <v>172</v>
      </c>
      <c r="F52" t="s">
        <v>174</v>
      </c>
    </row>
    <row r="53" spans="1:7" x14ac:dyDescent="0.2">
      <c r="A53" t="s">
        <v>175</v>
      </c>
      <c r="B53">
        <v>21.710270000000001</v>
      </c>
      <c r="C53">
        <v>13.0428</v>
      </c>
      <c r="D53">
        <v>2.2623899999999999</v>
      </c>
    </row>
    <row r="54" spans="1:7" x14ac:dyDescent="0.2">
      <c r="A54" t="s">
        <v>176</v>
      </c>
      <c r="B54">
        <v>119.12555999999999</v>
      </c>
      <c r="C54">
        <v>178.37689</v>
      </c>
      <c r="D54">
        <v>0.90769</v>
      </c>
    </row>
    <row r="55" spans="1:7" x14ac:dyDescent="0.2">
      <c r="A55" t="s">
        <v>177</v>
      </c>
      <c r="B55" t="s">
        <v>172</v>
      </c>
      <c r="C55">
        <v>140.83580000000001</v>
      </c>
      <c r="D55">
        <v>191.41970000000001</v>
      </c>
    </row>
    <row r="57" spans="1:7" x14ac:dyDescent="0.2">
      <c r="A57" t="s">
        <v>1</v>
      </c>
      <c r="B57" t="s">
        <v>169</v>
      </c>
      <c r="C57">
        <v>10</v>
      </c>
      <c r="D57">
        <v>75.83</v>
      </c>
      <c r="E57" t="s">
        <v>10</v>
      </c>
      <c r="F57">
        <v>1000</v>
      </c>
      <c r="G57" t="s">
        <v>170</v>
      </c>
    </row>
    <row r="58" spans="1:7" x14ac:dyDescent="0.2">
      <c r="B58" t="s">
        <v>171</v>
      </c>
      <c r="C58" t="s">
        <v>172</v>
      </c>
      <c r="D58" t="s">
        <v>173</v>
      </c>
      <c r="E58" t="s">
        <v>172</v>
      </c>
      <c r="F58" t="s">
        <v>174</v>
      </c>
    </row>
    <row r="59" spans="1:7" x14ac:dyDescent="0.2">
      <c r="A59" t="s">
        <v>175</v>
      </c>
      <c r="B59">
        <v>12.55733</v>
      </c>
      <c r="C59">
        <v>7.2678099999999999</v>
      </c>
      <c r="D59">
        <v>2.3446899999999999</v>
      </c>
    </row>
    <row r="60" spans="1:7" x14ac:dyDescent="0.2">
      <c r="A60" t="s">
        <v>176</v>
      </c>
      <c r="B60">
        <v>128.86234999999999</v>
      </c>
      <c r="C60">
        <v>184.64366000000001</v>
      </c>
      <c r="D60">
        <v>0.94706999999999997</v>
      </c>
    </row>
    <row r="61" spans="1:7" x14ac:dyDescent="0.2">
      <c r="A61" t="s">
        <v>177</v>
      </c>
      <c r="B61" t="s">
        <v>172</v>
      </c>
      <c r="C61">
        <v>141.41970000000001</v>
      </c>
      <c r="D61">
        <v>191.91149999999999</v>
      </c>
    </row>
    <row r="63" spans="1:7" x14ac:dyDescent="0.2">
      <c r="A63" t="s">
        <v>1</v>
      </c>
      <c r="B63" t="s">
        <v>169</v>
      </c>
      <c r="C63">
        <v>11</v>
      </c>
      <c r="D63">
        <v>76.73</v>
      </c>
      <c r="E63" t="s">
        <v>10</v>
      </c>
      <c r="F63">
        <v>1000</v>
      </c>
      <c r="G63" t="s">
        <v>170</v>
      </c>
    </row>
    <row r="64" spans="1:7" x14ac:dyDescent="0.2">
      <c r="B64" t="s">
        <v>171</v>
      </c>
      <c r="C64" t="s">
        <v>172</v>
      </c>
      <c r="D64" t="s">
        <v>173</v>
      </c>
      <c r="E64" t="s">
        <v>172</v>
      </c>
      <c r="F64" t="s">
        <v>174</v>
      </c>
    </row>
    <row r="65" spans="1:7" x14ac:dyDescent="0.2">
      <c r="A65" t="s">
        <v>175</v>
      </c>
      <c r="B65">
        <v>6.78233</v>
      </c>
      <c r="C65">
        <v>3.8353700000000002</v>
      </c>
      <c r="D65">
        <v>2.3956300000000001</v>
      </c>
    </row>
    <row r="66" spans="1:7" x14ac:dyDescent="0.2">
      <c r="A66" t="s">
        <v>176</v>
      </c>
      <c r="B66">
        <v>135.12914000000001</v>
      </c>
      <c r="C66">
        <v>188.41397000000001</v>
      </c>
      <c r="D66">
        <v>0.97158999999999995</v>
      </c>
    </row>
    <row r="67" spans="1:7" x14ac:dyDescent="0.2">
      <c r="A67" t="s">
        <v>177</v>
      </c>
      <c r="B67" t="s">
        <v>172</v>
      </c>
      <c r="C67">
        <v>141.91149999999999</v>
      </c>
      <c r="D67">
        <v>192.24930000000001</v>
      </c>
    </row>
    <row r="69" spans="1:7" x14ac:dyDescent="0.2">
      <c r="A69" t="s">
        <v>1</v>
      </c>
      <c r="B69" t="s">
        <v>169</v>
      </c>
      <c r="C69">
        <v>12</v>
      </c>
      <c r="D69">
        <v>77.260000000000005</v>
      </c>
      <c r="E69" t="s">
        <v>10</v>
      </c>
      <c r="F69">
        <v>1000</v>
      </c>
      <c r="G69" t="s">
        <v>170</v>
      </c>
    </row>
    <row r="70" spans="1:7" x14ac:dyDescent="0.2">
      <c r="B70" t="s">
        <v>171</v>
      </c>
      <c r="C70" t="s">
        <v>172</v>
      </c>
      <c r="D70" t="s">
        <v>173</v>
      </c>
      <c r="E70" t="s">
        <v>172</v>
      </c>
      <c r="F70" t="s">
        <v>174</v>
      </c>
    </row>
    <row r="71" spans="1:7" x14ac:dyDescent="0.2">
      <c r="A71" t="s">
        <v>175</v>
      </c>
      <c r="B71">
        <v>3.3498999999999999</v>
      </c>
      <c r="C71">
        <v>0.48547000000000001</v>
      </c>
      <c r="D71">
        <v>2.4254199999999999</v>
      </c>
    </row>
    <row r="72" spans="1:7" x14ac:dyDescent="0.2">
      <c r="A72" t="s">
        <v>176</v>
      </c>
      <c r="B72">
        <v>138.89943</v>
      </c>
      <c r="C72">
        <v>49.514530000000001</v>
      </c>
      <c r="D72">
        <v>0.98602000000000001</v>
      </c>
    </row>
    <row r="73" spans="1:7" x14ac:dyDescent="0.2">
      <c r="A73" t="s">
        <v>177</v>
      </c>
      <c r="B73" t="s">
        <v>172</v>
      </c>
      <c r="C73">
        <v>142.24930000000001</v>
      </c>
      <c r="D73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Charts</vt:lpstr>
      </vt:variant>
      <vt:variant>
        <vt:i4>5</vt:i4>
      </vt:variant>
    </vt:vector>
  </HeadingPairs>
  <TitlesOfParts>
    <vt:vector size="12" baseType="lpstr">
      <vt:lpstr>10-Tray</vt:lpstr>
      <vt:lpstr>Flash</vt:lpstr>
      <vt:lpstr>DIY</vt:lpstr>
      <vt:lpstr>VLE</vt:lpstr>
      <vt:lpstr>Txy</vt:lpstr>
      <vt:lpstr>Lewis</vt:lpstr>
      <vt:lpstr>ChemCAD</vt:lpstr>
      <vt:lpstr>XY with Stair Steps</vt:lpstr>
      <vt:lpstr>Flow</vt:lpstr>
      <vt:lpstr>Temp</vt:lpstr>
      <vt:lpstr>Mole</vt:lpstr>
      <vt:lpstr>xy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Clark</dc:creator>
  <cp:lastModifiedBy>Lane, Alan</cp:lastModifiedBy>
  <cp:lastPrinted>2017-04-03T19:54:14Z</cp:lastPrinted>
  <dcterms:created xsi:type="dcterms:W3CDTF">2012-01-13T18:02:02Z</dcterms:created>
  <dcterms:modified xsi:type="dcterms:W3CDTF">2020-02-04T22:32:55Z</dcterms:modified>
</cp:coreProperties>
</file>